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0cd7bfdea05c0177/Prellball-NTB-Site/Prellball/Bundesebene/Deutschlandpokal/"/>
    </mc:Choice>
  </mc:AlternateContent>
  <xr:revisionPtr revIDLastSave="0" documentId="8_{E0A0C9DC-E10F-49A7-8FE4-BF078BD4D14F}" xr6:coauthVersionLast="33" xr6:coauthVersionMax="33" xr10:uidLastSave="{00000000-0000-0000-0000-000000000000}"/>
  <bookViews>
    <workbookView xWindow="15" yWindow="15" windowWidth="9930" windowHeight="11370" tabRatio="887" activeTab="6" xr2:uid="{00000000-000D-0000-FFFF-FFFF00000000}"/>
  </bookViews>
  <sheets>
    <sheet name="Daten" sheetId="1" r:id="rId1"/>
    <sheet name="w11-14" sheetId="81" r:id="rId2"/>
    <sheet name="m11-14" sheetId="82" r:id="rId3"/>
    <sheet name="w15-18" sheetId="76" r:id="rId4"/>
    <sheet name="m15-18" sheetId="63" r:id="rId5"/>
    <sheet name="Samstag" sheetId="52" r:id="rId6"/>
    <sheet name="Sonntag" sheetId="13" r:id="rId7"/>
    <sheet name="LV" sheetId="64" r:id="rId8"/>
    <sheet name="DreamTeam" sheetId="65" r:id="rId9"/>
    <sheet name="Dream Team g" sheetId="74" r:id="rId10"/>
  </sheets>
  <definedNames>
    <definedName name="_xlnm.Print_Area" localSheetId="2">'m11-14'!$B$1:$X$63</definedName>
    <definedName name="_xlnm.Print_Area" localSheetId="4">'m15-18'!$B$1:$X$63</definedName>
    <definedName name="_xlnm.Print_Area" localSheetId="5">Samstag!$C$1:$Y$97</definedName>
    <definedName name="_xlnm.Print_Area" localSheetId="6">Sonntag!$C$1:$Y$70</definedName>
    <definedName name="_xlnm.Print_Area" localSheetId="1">'w11-14'!$B$1:$X$63</definedName>
    <definedName name="_xlnm.Print_Area" localSheetId="3">'w15-18'!$B$1:$X$63</definedName>
    <definedName name="_xlnm.Print_Titles" localSheetId="5">Samstag!$1:$23</definedName>
    <definedName name="_xlnm.Print_Titles" localSheetId="6">Sonntag!$1:$22</definedName>
  </definedNames>
  <calcPr calcId="162913"/>
</workbook>
</file>

<file path=xl/calcChain.xml><?xml version="1.0" encoding="utf-8"?>
<calcChain xmlns="http://schemas.openxmlformats.org/spreadsheetml/2006/main">
  <c r="AC62" i="13" l="1"/>
  <c r="AC61" i="13"/>
  <c r="AC60" i="13"/>
  <c r="AC59" i="13"/>
  <c r="AC58" i="13"/>
  <c r="AC57" i="13"/>
  <c r="AC56" i="13"/>
  <c r="AC55" i="13"/>
  <c r="AC54" i="13"/>
  <c r="AC53" i="13"/>
  <c r="AC52" i="13"/>
  <c r="AC51" i="13"/>
  <c r="AC50" i="13"/>
  <c r="AC49" i="13"/>
  <c r="AC48" i="13"/>
  <c r="AC47" i="13"/>
  <c r="AC46" i="13"/>
  <c r="AC45" i="13"/>
  <c r="AC44" i="13"/>
  <c r="AC43" i="13"/>
  <c r="AC41" i="13"/>
  <c r="AC40" i="13"/>
  <c r="AC39" i="13"/>
  <c r="AC38" i="13"/>
  <c r="AC37" i="13"/>
  <c r="AC36" i="13"/>
  <c r="AC35" i="13"/>
  <c r="AC34" i="13"/>
  <c r="AC33" i="13"/>
  <c r="AC32" i="13"/>
  <c r="AC31" i="13"/>
  <c r="AC30" i="13"/>
  <c r="AC29" i="13"/>
  <c r="AC28" i="13"/>
  <c r="AC27" i="13"/>
  <c r="AC26" i="13"/>
  <c r="AC25" i="13"/>
  <c r="AC24" i="13"/>
  <c r="AC23" i="13"/>
  <c r="D59" i="13" l="1"/>
  <c r="I30" i="64" l="1"/>
  <c r="I16" i="64"/>
  <c r="T51" i="13"/>
  <c r="V51" i="13"/>
  <c r="T52" i="13"/>
  <c r="V52" i="13"/>
  <c r="T53" i="13"/>
  <c r="V53" i="13"/>
  <c r="T54" i="13"/>
  <c r="V54" i="13"/>
  <c r="T55" i="13"/>
  <c r="V55" i="13"/>
  <c r="T56" i="13"/>
  <c r="V56" i="13"/>
  <c r="T57" i="13"/>
  <c r="V57" i="13"/>
  <c r="T58" i="13"/>
  <c r="V58" i="13"/>
  <c r="T59" i="13"/>
  <c r="V59" i="13"/>
  <c r="T60" i="13"/>
  <c r="V60" i="13"/>
  <c r="Q2" i="82"/>
  <c r="O69" i="13"/>
  <c r="O68" i="13"/>
  <c r="O67" i="13"/>
  <c r="C33" i="82"/>
  <c r="C31" i="82"/>
  <c r="C29" i="82"/>
  <c r="C27" i="82"/>
  <c r="C25" i="82"/>
  <c r="D33" i="82"/>
  <c r="R24" i="82" s="1"/>
  <c r="D31" i="82"/>
  <c r="D39" i="82" s="1"/>
  <c r="D29" i="82"/>
  <c r="D38" i="82" s="1"/>
  <c r="D27" i="82"/>
  <c r="D25" i="82"/>
  <c r="F24" i="82" s="1"/>
  <c r="D24" i="82"/>
  <c r="I16" i="13" s="1"/>
  <c r="C14" i="82"/>
  <c r="C12" i="82"/>
  <c r="C10" i="82"/>
  <c r="C8" i="82"/>
  <c r="C6" i="82"/>
  <c r="D14" i="82"/>
  <c r="R5" i="82" s="1"/>
  <c r="D12" i="82"/>
  <c r="O5" i="82" s="1"/>
  <c r="D10" i="82"/>
  <c r="D19" i="82" s="1"/>
  <c r="D8" i="82"/>
  <c r="D18" i="82" s="1"/>
  <c r="D6" i="82"/>
  <c r="D17" i="82" s="1"/>
  <c r="D5" i="82"/>
  <c r="C42" i="82" s="1"/>
  <c r="M63" i="82"/>
  <c r="K63" i="82"/>
  <c r="C63" i="82"/>
  <c r="M60" i="82"/>
  <c r="K60" i="82"/>
  <c r="C60" i="82"/>
  <c r="M58" i="82"/>
  <c r="K58" i="82"/>
  <c r="M56" i="82"/>
  <c r="K56" i="82"/>
  <c r="M54" i="82"/>
  <c r="K54" i="82"/>
  <c r="C54" i="82"/>
  <c r="M52" i="82"/>
  <c r="K52" i="82"/>
  <c r="D52" i="82"/>
  <c r="C52" i="82"/>
  <c r="M50" i="82"/>
  <c r="K50" i="82"/>
  <c r="M48" i="82"/>
  <c r="K48" i="82"/>
  <c r="M46" i="82"/>
  <c r="AN29" i="82" s="1"/>
  <c r="K46" i="82"/>
  <c r="AL29" i="82" s="1"/>
  <c r="AH33" i="82" s="1"/>
  <c r="M44" i="82"/>
  <c r="AK29" i="82" s="1"/>
  <c r="AF31" i="82" s="1"/>
  <c r="K44" i="82"/>
  <c r="AI29" i="82" s="1"/>
  <c r="M42" i="82"/>
  <c r="AL31" i="82" s="1"/>
  <c r="K42" i="82"/>
  <c r="P40" i="82"/>
  <c r="N40" i="82"/>
  <c r="M40" i="82"/>
  <c r="K40" i="82"/>
  <c r="J40" i="82"/>
  <c r="H40" i="82"/>
  <c r="G40" i="82"/>
  <c r="E40" i="82"/>
  <c r="M39" i="82"/>
  <c r="K39" i="82"/>
  <c r="J39" i="82"/>
  <c r="H39" i="82"/>
  <c r="G39" i="82"/>
  <c r="E39" i="82"/>
  <c r="J38" i="82"/>
  <c r="H38" i="82"/>
  <c r="G38" i="82"/>
  <c r="E38" i="82"/>
  <c r="G37" i="82"/>
  <c r="E37" i="82"/>
  <c r="V34" i="82"/>
  <c r="T34" i="82"/>
  <c r="W33" i="82"/>
  <c r="AC33" i="82" s="1"/>
  <c r="V33" i="82"/>
  <c r="T33" i="82"/>
  <c r="D40" i="82"/>
  <c r="D37" i="82"/>
  <c r="P21" i="82"/>
  <c r="N21" i="82"/>
  <c r="M21" i="82"/>
  <c r="K21" i="82"/>
  <c r="J21" i="82"/>
  <c r="H21" i="82"/>
  <c r="G21" i="82"/>
  <c r="E21" i="82"/>
  <c r="M20" i="82"/>
  <c r="K20" i="82"/>
  <c r="J20" i="82"/>
  <c r="H20" i="82"/>
  <c r="G20" i="82"/>
  <c r="E20" i="82"/>
  <c r="J19" i="82"/>
  <c r="H19" i="82"/>
  <c r="G19" i="82"/>
  <c r="E19" i="82"/>
  <c r="G18" i="82"/>
  <c r="E18" i="82"/>
  <c r="C1" i="82"/>
  <c r="D33" i="81"/>
  <c r="D31" i="81"/>
  <c r="O24" i="81" s="1"/>
  <c r="D29" i="81"/>
  <c r="D38" i="81" s="1"/>
  <c r="D27" i="81"/>
  <c r="D37" i="81" s="1"/>
  <c r="D25" i="81"/>
  <c r="D36" i="81" s="1"/>
  <c r="D24" i="81"/>
  <c r="C50" i="81" s="1"/>
  <c r="D14" i="81"/>
  <c r="D21" i="81" s="1"/>
  <c r="D12" i="81"/>
  <c r="D20" i="81" s="1"/>
  <c r="D10" i="81"/>
  <c r="L5" i="81" s="1"/>
  <c r="D8" i="81"/>
  <c r="D18" i="81" s="1"/>
  <c r="D6" i="81"/>
  <c r="D17" i="81" s="1"/>
  <c r="C14" i="81"/>
  <c r="C12" i="81"/>
  <c r="C10" i="81"/>
  <c r="C8" i="81"/>
  <c r="C6" i="81"/>
  <c r="D5" i="81"/>
  <c r="Q2" i="81"/>
  <c r="M63" i="81"/>
  <c r="K63" i="81"/>
  <c r="C63" i="81"/>
  <c r="M60" i="81"/>
  <c r="K60" i="81"/>
  <c r="C60" i="81"/>
  <c r="M58" i="81"/>
  <c r="K58" i="81"/>
  <c r="M56" i="81"/>
  <c r="K56" i="81"/>
  <c r="M54" i="81"/>
  <c r="K54" i="81"/>
  <c r="C54" i="81"/>
  <c r="M52" i="81"/>
  <c r="K52" i="81"/>
  <c r="D52" i="81"/>
  <c r="C52" i="81"/>
  <c r="M50" i="81"/>
  <c r="K50" i="81"/>
  <c r="M48" i="81"/>
  <c r="K48" i="81"/>
  <c r="M46" i="81"/>
  <c r="AN29" i="81" s="1"/>
  <c r="K46" i="81"/>
  <c r="AL29" i="81" s="1"/>
  <c r="AH33" i="81" s="1"/>
  <c r="M44" i="81"/>
  <c r="AK29" i="81" s="1"/>
  <c r="AF31" i="81" s="1"/>
  <c r="K44" i="81"/>
  <c r="M42" i="81"/>
  <c r="AL31" i="81" s="1"/>
  <c r="K42" i="81"/>
  <c r="P40" i="81"/>
  <c r="N40" i="81"/>
  <c r="M40" i="81"/>
  <c r="K40" i="81"/>
  <c r="J40" i="81"/>
  <c r="H40" i="81"/>
  <c r="G40" i="81"/>
  <c r="E40" i="81"/>
  <c r="D40" i="81"/>
  <c r="M39" i="81"/>
  <c r="K39" i="81"/>
  <c r="J39" i="81"/>
  <c r="H39" i="81"/>
  <c r="G39" i="81"/>
  <c r="E39" i="81"/>
  <c r="J38" i="81"/>
  <c r="H38" i="81"/>
  <c r="G38" i="81"/>
  <c r="E38" i="81"/>
  <c r="G37" i="81"/>
  <c r="E37" i="81"/>
  <c r="V34" i="81"/>
  <c r="T34" i="81"/>
  <c r="W33" i="81"/>
  <c r="AC33" i="81" s="1"/>
  <c r="V33" i="81"/>
  <c r="T33" i="81"/>
  <c r="C33" i="81"/>
  <c r="C31" i="81"/>
  <c r="C29" i="81"/>
  <c r="C27" i="81"/>
  <c r="C25" i="81"/>
  <c r="R24" i="81"/>
  <c r="P21" i="81"/>
  <c r="N21" i="81"/>
  <c r="M21" i="81"/>
  <c r="K21" i="81"/>
  <c r="J21" i="81"/>
  <c r="H21" i="81"/>
  <c r="G21" i="81"/>
  <c r="E21" i="81"/>
  <c r="M20" i="81"/>
  <c r="K20" i="81"/>
  <c r="J20" i="81"/>
  <c r="H20" i="81"/>
  <c r="G20" i="81"/>
  <c r="E20" i="81"/>
  <c r="J19" i="81"/>
  <c r="H19" i="81"/>
  <c r="G19" i="81"/>
  <c r="E19" i="81"/>
  <c r="G18" i="81"/>
  <c r="E18" i="81"/>
  <c r="C42" i="81"/>
  <c r="C1" i="81"/>
  <c r="C16" i="13" l="1"/>
  <c r="D36" i="82"/>
  <c r="D21" i="82"/>
  <c r="D39" i="81"/>
  <c r="L24" i="81"/>
  <c r="O5" i="81"/>
  <c r="AC50" i="82"/>
  <c r="AC48" i="82"/>
  <c r="AQ29" i="82"/>
  <c r="AO31" i="82"/>
  <c r="AI30" i="82"/>
  <c r="AO29" i="82"/>
  <c r="AC42" i="82"/>
  <c r="AC50" i="81"/>
  <c r="AQ29" i="81"/>
  <c r="AO31" i="81"/>
  <c r="AC44" i="81"/>
  <c r="AC48" i="81"/>
  <c r="AC42" i="81"/>
  <c r="AN31" i="82"/>
  <c r="AI33" i="82" s="1"/>
  <c r="AC44" i="82"/>
  <c r="AN31" i="81"/>
  <c r="AN32" i="81" s="1"/>
  <c r="AH31" i="82"/>
  <c r="D20" i="82"/>
  <c r="F5" i="82"/>
  <c r="C50" i="82"/>
  <c r="AN30" i="82"/>
  <c r="AF33" i="82"/>
  <c r="I5" i="82"/>
  <c r="I24" i="82"/>
  <c r="AK30" i="82"/>
  <c r="AK33" i="82"/>
  <c r="C46" i="82"/>
  <c r="C48" i="82"/>
  <c r="C58" i="82"/>
  <c r="C44" i="82"/>
  <c r="C56" i="82"/>
  <c r="L5" i="82"/>
  <c r="L24" i="82"/>
  <c r="AL30" i="82"/>
  <c r="O24" i="82"/>
  <c r="AF33" i="81"/>
  <c r="AN30" i="81"/>
  <c r="AI29" i="81"/>
  <c r="I24" i="81"/>
  <c r="R5" i="81"/>
  <c r="D19" i="81"/>
  <c r="AK33" i="81"/>
  <c r="AQ33" i="81" s="1"/>
  <c r="F5" i="81"/>
  <c r="F24" i="81"/>
  <c r="C44" i="81"/>
  <c r="C56" i="81"/>
  <c r="I5" i="81"/>
  <c r="C46" i="81"/>
  <c r="C48" i="81"/>
  <c r="C58" i="81"/>
  <c r="AL30" i="81"/>
  <c r="V83" i="52"/>
  <c r="T83" i="52"/>
  <c r="V82" i="52"/>
  <c r="T82" i="52"/>
  <c r="V81" i="52"/>
  <c r="T81" i="52"/>
  <c r="V80" i="52"/>
  <c r="T80" i="52"/>
  <c r="V79" i="52"/>
  <c r="T79" i="52"/>
  <c r="V78" i="52"/>
  <c r="T78" i="52"/>
  <c r="V77" i="52"/>
  <c r="T77" i="52"/>
  <c r="V76" i="52"/>
  <c r="T76" i="52"/>
  <c r="V75" i="52"/>
  <c r="T75" i="52"/>
  <c r="V74" i="52"/>
  <c r="T74" i="52"/>
  <c r="V73" i="52"/>
  <c r="T73" i="52"/>
  <c r="V72" i="52"/>
  <c r="T72" i="52"/>
  <c r="V71" i="52"/>
  <c r="T71" i="52"/>
  <c r="V70" i="52"/>
  <c r="T70" i="52"/>
  <c r="V69" i="52"/>
  <c r="T69" i="52"/>
  <c r="V68" i="52"/>
  <c r="T68" i="52"/>
  <c r="V67" i="52"/>
  <c r="T67" i="52"/>
  <c r="V66" i="52"/>
  <c r="T66" i="52"/>
  <c r="V65" i="52"/>
  <c r="T65" i="52"/>
  <c r="V64" i="52"/>
  <c r="T64" i="52"/>
  <c r="V63" i="52"/>
  <c r="T63" i="52"/>
  <c r="V62" i="52"/>
  <c r="T62" i="52"/>
  <c r="V61" i="52"/>
  <c r="T61" i="52"/>
  <c r="V60" i="52"/>
  <c r="T60" i="52"/>
  <c r="V59" i="52"/>
  <c r="T59" i="52"/>
  <c r="V58" i="52"/>
  <c r="T58" i="52"/>
  <c r="V57" i="52"/>
  <c r="T57" i="52"/>
  <c r="V56" i="52"/>
  <c r="T56" i="52"/>
  <c r="AK34" i="82" l="1"/>
  <c r="AO30" i="82"/>
  <c r="AQ30" i="82"/>
  <c r="AN32" i="82"/>
  <c r="AH32" i="82"/>
  <c r="AQ31" i="82"/>
  <c r="AF34" i="82"/>
  <c r="AO33" i="82"/>
  <c r="AQ33" i="82"/>
  <c r="AH34" i="82"/>
  <c r="AF32" i="82"/>
  <c r="AL32" i="82"/>
  <c r="AI34" i="82"/>
  <c r="AL32" i="81"/>
  <c r="AK30" i="81"/>
  <c r="AQ30" i="81" s="1"/>
  <c r="AO29" i="81"/>
  <c r="AF34" i="81"/>
  <c r="AH34" i="81"/>
  <c r="AI33" i="81"/>
  <c r="AI34" i="81" s="1"/>
  <c r="AH31" i="81"/>
  <c r="AQ31" i="81" s="1"/>
  <c r="AI30" i="81"/>
  <c r="AO30" i="81" s="1"/>
  <c r="AQ34" i="82" l="1"/>
  <c r="AS30" i="82"/>
  <c r="AQ32" i="82"/>
  <c r="AO32" i="82"/>
  <c r="AO34" i="82"/>
  <c r="AS30" i="81"/>
  <c r="AO33" i="81"/>
  <c r="AO34" i="81"/>
  <c r="AH32" i="81"/>
  <c r="AQ32" i="81" s="1"/>
  <c r="AF32" i="81"/>
  <c r="AO32" i="81" s="1"/>
  <c r="AK34" i="81"/>
  <c r="AQ34" i="81" s="1"/>
  <c r="V27" i="13"/>
  <c r="T27" i="13"/>
  <c r="AS34" i="82" l="1"/>
  <c r="AS32" i="82"/>
  <c r="AS32" i="81"/>
  <c r="AS34" i="81"/>
  <c r="G30" i="64"/>
  <c r="J16" i="64"/>
  <c r="V52" i="52"/>
  <c r="T52" i="52"/>
  <c r="V48" i="52"/>
  <c r="T48" i="52"/>
  <c r="V45" i="52"/>
  <c r="T45" i="52"/>
  <c r="AR33" i="82" l="1"/>
  <c r="AR29" i="82"/>
  <c r="AR31" i="82"/>
  <c r="AR33" i="81"/>
  <c r="AR29" i="81"/>
  <c r="AR31" i="81"/>
  <c r="L3" i="64"/>
  <c r="K30" i="64"/>
  <c r="B96" i="52" l="1"/>
  <c r="B95" i="52"/>
  <c r="B94" i="52"/>
  <c r="D46" i="76" l="1"/>
  <c r="D33" i="76" l="1"/>
  <c r="D40" i="76" s="1"/>
  <c r="D31" i="76"/>
  <c r="O24" i="76" s="1"/>
  <c r="D29" i="76"/>
  <c r="L24" i="76" s="1"/>
  <c r="D27" i="76"/>
  <c r="D37" i="76" s="1"/>
  <c r="D25" i="76"/>
  <c r="D36" i="76" s="1"/>
  <c r="D24" i="76"/>
  <c r="D5" i="76"/>
  <c r="D14" i="76"/>
  <c r="D21" i="76" s="1"/>
  <c r="D12" i="76"/>
  <c r="D20" i="76" s="1"/>
  <c r="D10" i="76"/>
  <c r="D19" i="76" s="1"/>
  <c r="D8" i="76"/>
  <c r="D18" i="76" s="1"/>
  <c r="D6" i="76"/>
  <c r="D17" i="76" s="1"/>
  <c r="Q2" i="76"/>
  <c r="M63" i="76"/>
  <c r="K63" i="76"/>
  <c r="C63" i="76"/>
  <c r="M60" i="76"/>
  <c r="K60" i="76"/>
  <c r="C60" i="76"/>
  <c r="M58" i="76"/>
  <c r="K58" i="76"/>
  <c r="M56" i="76"/>
  <c r="K56" i="76"/>
  <c r="M54" i="76"/>
  <c r="K54" i="76"/>
  <c r="C54" i="76"/>
  <c r="M52" i="76"/>
  <c r="K52" i="76"/>
  <c r="D52" i="76"/>
  <c r="C52" i="76"/>
  <c r="M50" i="76"/>
  <c r="K50" i="76"/>
  <c r="M48" i="76"/>
  <c r="K48" i="76"/>
  <c r="M46" i="76"/>
  <c r="K46" i="76"/>
  <c r="E46" i="76"/>
  <c r="M44" i="76"/>
  <c r="AL29" i="76" s="1"/>
  <c r="K44" i="76"/>
  <c r="AN29" i="76" s="1"/>
  <c r="M42" i="76"/>
  <c r="K42" i="76"/>
  <c r="P40" i="76"/>
  <c r="N40" i="76"/>
  <c r="M40" i="76"/>
  <c r="K40" i="76"/>
  <c r="J40" i="76"/>
  <c r="H40" i="76"/>
  <c r="G40" i="76"/>
  <c r="E40" i="76"/>
  <c r="M39" i="76"/>
  <c r="K39" i="76"/>
  <c r="J39" i="76"/>
  <c r="H39" i="76"/>
  <c r="G39" i="76"/>
  <c r="E39" i="76"/>
  <c r="J38" i="76"/>
  <c r="H38" i="76"/>
  <c r="G38" i="76"/>
  <c r="E38" i="76"/>
  <c r="G37" i="76"/>
  <c r="E37" i="76"/>
  <c r="V34" i="76"/>
  <c r="T34" i="76"/>
  <c r="W33" i="76"/>
  <c r="AC33" i="76" s="1"/>
  <c r="V33" i="76"/>
  <c r="T33" i="76"/>
  <c r="C33" i="76"/>
  <c r="C31" i="76"/>
  <c r="C29" i="76"/>
  <c r="C27" i="76"/>
  <c r="C25" i="76"/>
  <c r="R24" i="76"/>
  <c r="P21" i="76"/>
  <c r="N21" i="76"/>
  <c r="M21" i="76"/>
  <c r="K21" i="76"/>
  <c r="J21" i="76"/>
  <c r="H21" i="76"/>
  <c r="G21" i="76"/>
  <c r="E21" i="76"/>
  <c r="M20" i="76"/>
  <c r="K20" i="76"/>
  <c r="J20" i="76"/>
  <c r="H20" i="76"/>
  <c r="G20" i="76"/>
  <c r="E20" i="76"/>
  <c r="J19" i="76"/>
  <c r="H19" i="76"/>
  <c r="G19" i="76"/>
  <c r="E19" i="76"/>
  <c r="G18" i="76"/>
  <c r="E18" i="76"/>
  <c r="C14" i="76"/>
  <c r="C12" i="76"/>
  <c r="C10" i="76"/>
  <c r="C8" i="76"/>
  <c r="C6" i="76"/>
  <c r="C1" i="76"/>
  <c r="L16" i="13" l="1"/>
  <c r="D38" i="76"/>
  <c r="F24" i="76"/>
  <c r="R5" i="76"/>
  <c r="D39" i="76"/>
  <c r="L10" i="13"/>
  <c r="C42" i="76"/>
  <c r="C48" i="76"/>
  <c r="C44" i="76"/>
  <c r="L5" i="76"/>
  <c r="AK33" i="76"/>
  <c r="AI29" i="76"/>
  <c r="AK29" i="76"/>
  <c r="AQ29" i="76" s="1"/>
  <c r="AI33" i="76"/>
  <c r="AH33" i="76"/>
  <c r="AC42" i="76"/>
  <c r="AC44" i="76"/>
  <c r="AC48" i="76"/>
  <c r="AC50" i="76"/>
  <c r="O5" i="76"/>
  <c r="C46" i="76"/>
  <c r="AN30" i="76"/>
  <c r="AF33" i="76"/>
  <c r="F5" i="76"/>
  <c r="I5" i="76"/>
  <c r="I24" i="76"/>
  <c r="C56" i="76"/>
  <c r="AL30" i="76"/>
  <c r="C50" i="76"/>
  <c r="C58" i="76"/>
  <c r="AQ33" i="76" l="1"/>
  <c r="AH34" i="76"/>
  <c r="AO29" i="76"/>
  <c r="AH32" i="76"/>
  <c r="AK30" i="76"/>
  <c r="AQ30" i="76" s="1"/>
  <c r="AI30" i="76"/>
  <c r="AO30" i="76" s="1"/>
  <c r="AN32" i="76"/>
  <c r="V15" i="76"/>
  <c r="T14" i="76"/>
  <c r="T15" i="76"/>
  <c r="AL32" i="76"/>
  <c r="AO31" i="76"/>
  <c r="V14" i="76"/>
  <c r="AF34" i="76"/>
  <c r="AF32" i="76" l="1"/>
  <c r="AO32" i="76" s="1"/>
  <c r="AI34" i="76"/>
  <c r="AO34" i="76" s="1"/>
  <c r="AQ31" i="76"/>
  <c r="AS30" i="76"/>
  <c r="AQ32" i="76"/>
  <c r="W14" i="76"/>
  <c r="AC14" i="76" s="1"/>
  <c r="AK34" i="76"/>
  <c r="AQ34" i="76" s="1"/>
  <c r="AO33" i="76"/>
  <c r="AE31" i="76" l="1"/>
  <c r="L9" i="13"/>
  <c r="AS34" i="76"/>
  <c r="AR31" i="76"/>
  <c r="AR33" i="76" l="1"/>
  <c r="AR29" i="76"/>
  <c r="Q60" i="76"/>
  <c r="T41" i="52" l="1"/>
  <c r="N5" i="1"/>
  <c r="D27" i="52" s="1"/>
  <c r="V50" i="13"/>
  <c r="T50" i="13"/>
  <c r="V49" i="13"/>
  <c r="T49" i="13"/>
  <c r="V48" i="13"/>
  <c r="T48" i="13"/>
  <c r="V47" i="13"/>
  <c r="T47" i="13"/>
  <c r="V46" i="13"/>
  <c r="T46" i="13"/>
  <c r="V45" i="13"/>
  <c r="T45" i="13"/>
  <c r="V44" i="13"/>
  <c r="T44" i="13"/>
  <c r="V43" i="13"/>
  <c r="T43" i="13"/>
  <c r="V42" i="13"/>
  <c r="T42" i="13"/>
  <c r="V41" i="13"/>
  <c r="T41" i="13"/>
  <c r="V40" i="13"/>
  <c r="T40" i="13"/>
  <c r="V39" i="13"/>
  <c r="T39" i="13"/>
  <c r="V38" i="13"/>
  <c r="T38" i="13"/>
  <c r="V37" i="13"/>
  <c r="T37" i="13"/>
  <c r="V36" i="13"/>
  <c r="T36" i="13"/>
  <c r="V35" i="13"/>
  <c r="T35" i="13"/>
  <c r="V34" i="13"/>
  <c r="T34" i="13"/>
  <c r="V33" i="13"/>
  <c r="T33" i="13"/>
  <c r="V32" i="13"/>
  <c r="T32" i="13"/>
  <c r="V31" i="13"/>
  <c r="T31" i="13"/>
  <c r="V30" i="13"/>
  <c r="T30" i="13"/>
  <c r="V29" i="13"/>
  <c r="T29" i="13"/>
  <c r="V28" i="13"/>
  <c r="T28" i="13"/>
  <c r="C27" i="13"/>
  <c r="C31" i="13" s="1"/>
  <c r="V26" i="13"/>
  <c r="T26" i="13"/>
  <c r="V25" i="13"/>
  <c r="T25" i="13"/>
  <c r="V24" i="13"/>
  <c r="T24" i="13"/>
  <c r="E24" i="13"/>
  <c r="E25" i="13" s="1"/>
  <c r="V23" i="13"/>
  <c r="T23" i="13"/>
  <c r="D23" i="13"/>
  <c r="A1" i="65"/>
  <c r="A1" i="64"/>
  <c r="K28" i="64"/>
  <c r="K26" i="64"/>
  <c r="K24" i="64"/>
  <c r="K22" i="64"/>
  <c r="K20" i="64"/>
  <c r="K18" i="64"/>
  <c r="K16" i="64"/>
  <c r="K14" i="64"/>
  <c r="K12" i="64"/>
  <c r="K10" i="64"/>
  <c r="K8" i="64"/>
  <c r="I2" i="13"/>
  <c r="C2" i="13"/>
  <c r="I2" i="52"/>
  <c r="C2" i="52"/>
  <c r="C33" i="63"/>
  <c r="C31" i="63"/>
  <c r="C29" i="63"/>
  <c r="C27" i="63"/>
  <c r="C25" i="63"/>
  <c r="C14" i="63"/>
  <c r="C12" i="63"/>
  <c r="C10" i="63"/>
  <c r="C8" i="63"/>
  <c r="C6" i="63"/>
  <c r="D33" i="63"/>
  <c r="D40" i="63" s="1"/>
  <c r="D31" i="63"/>
  <c r="O24" i="63" s="1"/>
  <c r="D29" i="63"/>
  <c r="L24" i="63" s="1"/>
  <c r="D27" i="63"/>
  <c r="I24" i="63" s="1"/>
  <c r="D25" i="63"/>
  <c r="F24" i="63" s="1"/>
  <c r="D14" i="63"/>
  <c r="R5" i="63" s="1"/>
  <c r="D12" i="63"/>
  <c r="D20" i="63" s="1"/>
  <c r="D10" i="63"/>
  <c r="L5" i="63" s="1"/>
  <c r="D8" i="63"/>
  <c r="D18" i="63" s="1"/>
  <c r="D6" i="63"/>
  <c r="D17" i="63" s="1"/>
  <c r="D24" i="63"/>
  <c r="C58" i="63" s="1"/>
  <c r="Q2" i="63"/>
  <c r="D5" i="63"/>
  <c r="O11" i="13" s="1"/>
  <c r="M63" i="63"/>
  <c r="K63" i="63"/>
  <c r="C63" i="63"/>
  <c r="M60" i="63"/>
  <c r="K60" i="63"/>
  <c r="C60" i="63"/>
  <c r="M58" i="63"/>
  <c r="K58" i="63"/>
  <c r="M56" i="63"/>
  <c r="K56" i="63"/>
  <c r="M54" i="63"/>
  <c r="K54" i="63"/>
  <c r="C54" i="63"/>
  <c r="M52" i="63"/>
  <c r="K52" i="63"/>
  <c r="D52" i="63"/>
  <c r="C52" i="63"/>
  <c r="M50" i="63"/>
  <c r="K50" i="63"/>
  <c r="M48" i="63"/>
  <c r="K48" i="63"/>
  <c r="M46" i="63"/>
  <c r="AN29" i="63" s="1"/>
  <c r="K46" i="63"/>
  <c r="AL29" i="63" s="1"/>
  <c r="AH33" i="63" s="1"/>
  <c r="M44" i="63"/>
  <c r="AK29" i="63" s="1"/>
  <c r="K44" i="63"/>
  <c r="AI29" i="63" s="1"/>
  <c r="AH31" i="63" s="1"/>
  <c r="M42" i="63"/>
  <c r="AL31" i="63" s="1"/>
  <c r="AK33" i="63" s="1"/>
  <c r="K42" i="63"/>
  <c r="AN31" i="63" s="1"/>
  <c r="P40" i="63"/>
  <c r="N40" i="63"/>
  <c r="M40" i="63"/>
  <c r="K40" i="63"/>
  <c r="J40" i="63"/>
  <c r="H40" i="63"/>
  <c r="G40" i="63"/>
  <c r="E40" i="63"/>
  <c r="M39" i="63"/>
  <c r="K39" i="63"/>
  <c r="J39" i="63"/>
  <c r="H39" i="63"/>
  <c r="G39" i="63"/>
  <c r="E39" i="63"/>
  <c r="J38" i="63"/>
  <c r="H38" i="63"/>
  <c r="G38" i="63"/>
  <c r="E38" i="63"/>
  <c r="G37" i="63"/>
  <c r="E37" i="63"/>
  <c r="W33" i="63"/>
  <c r="AC33" i="63" s="1"/>
  <c r="R24" i="63"/>
  <c r="P21" i="63"/>
  <c r="N21" i="63"/>
  <c r="M21" i="63"/>
  <c r="K21" i="63"/>
  <c r="J21" i="63"/>
  <c r="H21" i="63"/>
  <c r="G21" i="63"/>
  <c r="E21" i="63"/>
  <c r="M20" i="63"/>
  <c r="K20" i="63"/>
  <c r="J20" i="63"/>
  <c r="H20" i="63"/>
  <c r="G20" i="63"/>
  <c r="E20" i="63"/>
  <c r="J19" i="63"/>
  <c r="H19" i="63"/>
  <c r="G19" i="63"/>
  <c r="E19" i="63"/>
  <c r="G18" i="63"/>
  <c r="E18" i="63"/>
  <c r="C1" i="63"/>
  <c r="P10" i="52"/>
  <c r="P9" i="52"/>
  <c r="V84" i="13"/>
  <c r="T84" i="13"/>
  <c r="V83" i="13"/>
  <c r="T83" i="13"/>
  <c r="V82" i="13"/>
  <c r="T82" i="13"/>
  <c r="V81" i="13"/>
  <c r="T81" i="13"/>
  <c r="V80" i="13"/>
  <c r="T80" i="13"/>
  <c r="V79" i="13"/>
  <c r="T79" i="13"/>
  <c r="V78" i="13"/>
  <c r="T78" i="13"/>
  <c r="V77" i="13"/>
  <c r="T77" i="13"/>
  <c r="V76" i="13"/>
  <c r="T76" i="13"/>
  <c r="V75" i="13"/>
  <c r="T75" i="13"/>
  <c r="V153" i="52"/>
  <c r="T153" i="52"/>
  <c r="B153" i="52"/>
  <c r="V152" i="52"/>
  <c r="T152" i="52"/>
  <c r="V151" i="52"/>
  <c r="T151" i="52"/>
  <c r="V150" i="52"/>
  <c r="T150" i="52"/>
  <c r="B150" i="52"/>
  <c r="V149" i="52"/>
  <c r="T149" i="52"/>
  <c r="B149" i="52"/>
  <c r="V148" i="52"/>
  <c r="T148" i="52"/>
  <c r="B148" i="52"/>
  <c r="V147" i="52"/>
  <c r="T147" i="52"/>
  <c r="B147" i="52"/>
  <c r="V146" i="52"/>
  <c r="T146" i="52"/>
  <c r="B146" i="52"/>
  <c r="V145" i="52"/>
  <c r="T145" i="52"/>
  <c r="B145" i="52"/>
  <c r="V144" i="52"/>
  <c r="T144" i="52"/>
  <c r="B144" i="52"/>
  <c r="V143" i="52"/>
  <c r="T143" i="52"/>
  <c r="B143" i="52"/>
  <c r="V142" i="52"/>
  <c r="T142" i="52"/>
  <c r="B142" i="52"/>
  <c r="V141" i="52"/>
  <c r="T141" i="52"/>
  <c r="B141" i="52"/>
  <c r="V140" i="52"/>
  <c r="T140" i="52"/>
  <c r="B140" i="52"/>
  <c r="V139" i="52"/>
  <c r="T139" i="52"/>
  <c r="B139" i="52"/>
  <c r="V138" i="52"/>
  <c r="T138" i="52"/>
  <c r="B138" i="52"/>
  <c r="V137" i="52"/>
  <c r="T137" i="52"/>
  <c r="B137" i="52"/>
  <c r="V136" i="52"/>
  <c r="T136" i="52"/>
  <c r="B136" i="52"/>
  <c r="V135" i="52"/>
  <c r="T135" i="52"/>
  <c r="B135" i="52"/>
  <c r="V134" i="52"/>
  <c r="T134" i="52"/>
  <c r="B134" i="52"/>
  <c r="V133" i="52"/>
  <c r="T133" i="52"/>
  <c r="B133" i="52"/>
  <c r="V132" i="52"/>
  <c r="T132" i="52"/>
  <c r="B132" i="52"/>
  <c r="V131" i="52"/>
  <c r="T131" i="52"/>
  <c r="B131" i="52"/>
  <c r="V130" i="52"/>
  <c r="T130" i="52"/>
  <c r="B130" i="52"/>
  <c r="V129" i="52"/>
  <c r="T129" i="52"/>
  <c r="B129" i="52"/>
  <c r="V128" i="52"/>
  <c r="T128" i="52"/>
  <c r="B128" i="52"/>
  <c r="V127" i="52"/>
  <c r="T127" i="52"/>
  <c r="B127" i="52"/>
  <c r="V126" i="52"/>
  <c r="T126" i="52"/>
  <c r="B126" i="52"/>
  <c r="V125" i="52"/>
  <c r="T125" i="52"/>
  <c r="V124" i="52"/>
  <c r="T124" i="52"/>
  <c r="V123" i="52"/>
  <c r="T123" i="52"/>
  <c r="B123" i="52"/>
  <c r="V122" i="52"/>
  <c r="T122" i="52"/>
  <c r="B122" i="52"/>
  <c r="V121" i="52"/>
  <c r="T121" i="52"/>
  <c r="B121" i="52"/>
  <c r="V120" i="52"/>
  <c r="T120" i="52"/>
  <c r="B120" i="52"/>
  <c r="V119" i="52"/>
  <c r="T119" i="52"/>
  <c r="B119" i="52"/>
  <c r="V118" i="52"/>
  <c r="T118" i="52"/>
  <c r="B118" i="52"/>
  <c r="V117" i="52"/>
  <c r="T117" i="52"/>
  <c r="B117" i="52"/>
  <c r="V116" i="52"/>
  <c r="T116" i="52"/>
  <c r="B116" i="52"/>
  <c r="V115" i="52"/>
  <c r="T115" i="52"/>
  <c r="B115" i="52"/>
  <c r="V114" i="52"/>
  <c r="T114" i="52"/>
  <c r="B114" i="52"/>
  <c r="V113" i="52"/>
  <c r="T113" i="52"/>
  <c r="B113" i="52"/>
  <c r="V112" i="52"/>
  <c r="T112" i="52"/>
  <c r="B112" i="52"/>
  <c r="V111" i="52"/>
  <c r="T111" i="52"/>
  <c r="B111" i="52"/>
  <c r="V110" i="52"/>
  <c r="T110" i="52"/>
  <c r="B110" i="52"/>
  <c r="V109" i="52"/>
  <c r="T109" i="52"/>
  <c r="B109" i="52"/>
  <c r="V108" i="52"/>
  <c r="T108" i="52"/>
  <c r="B108" i="52"/>
  <c r="V107" i="52"/>
  <c r="T107" i="52"/>
  <c r="B107" i="52"/>
  <c r="V106" i="52"/>
  <c r="T106" i="52"/>
  <c r="B106" i="52"/>
  <c r="V105" i="52"/>
  <c r="T105" i="52"/>
  <c r="B105" i="52"/>
  <c r="V104" i="52"/>
  <c r="T104" i="52"/>
  <c r="B104" i="52"/>
  <c r="V103" i="52"/>
  <c r="T103" i="52"/>
  <c r="B103" i="52"/>
  <c r="V102" i="52"/>
  <c r="T102" i="52"/>
  <c r="B102" i="52"/>
  <c r="V101" i="52"/>
  <c r="T101" i="52"/>
  <c r="B101" i="52"/>
  <c r="V100" i="52"/>
  <c r="T100" i="52"/>
  <c r="B100" i="52"/>
  <c r="V99" i="52"/>
  <c r="T99" i="52"/>
  <c r="B99" i="52"/>
  <c r="V98" i="52"/>
  <c r="T98" i="52"/>
  <c r="B98" i="52"/>
  <c r="V97" i="52"/>
  <c r="T97" i="52"/>
  <c r="V96" i="52"/>
  <c r="T96" i="52"/>
  <c r="V95" i="52"/>
  <c r="T95" i="52"/>
  <c r="V94" i="52"/>
  <c r="T94" i="52"/>
  <c r="V93" i="52"/>
  <c r="T93" i="52"/>
  <c r="B93" i="52"/>
  <c r="V92" i="52"/>
  <c r="T92" i="52"/>
  <c r="B92" i="52"/>
  <c r="V91" i="52"/>
  <c r="T91" i="52"/>
  <c r="B91" i="52"/>
  <c r="V90" i="52"/>
  <c r="T90" i="52"/>
  <c r="B90" i="52"/>
  <c r="V89" i="52"/>
  <c r="T89" i="52"/>
  <c r="B89" i="52"/>
  <c r="V88" i="52"/>
  <c r="T88" i="52"/>
  <c r="B88" i="52"/>
  <c r="V87" i="52"/>
  <c r="T87" i="52"/>
  <c r="B87" i="52"/>
  <c r="V86" i="52"/>
  <c r="T86" i="52"/>
  <c r="B86" i="52"/>
  <c r="V85" i="52"/>
  <c r="T85" i="52"/>
  <c r="B85" i="52"/>
  <c r="V84" i="52"/>
  <c r="T84" i="52"/>
  <c r="B84" i="52"/>
  <c r="B83" i="52"/>
  <c r="B82" i="52"/>
  <c r="B81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V55" i="52"/>
  <c r="T55" i="52"/>
  <c r="B55" i="52"/>
  <c r="V54" i="52"/>
  <c r="T54" i="52"/>
  <c r="B54" i="52"/>
  <c r="V53" i="52"/>
  <c r="T53" i="52"/>
  <c r="B53" i="52"/>
  <c r="B52" i="52"/>
  <c r="V51" i="52"/>
  <c r="T51" i="52"/>
  <c r="B51" i="52"/>
  <c r="V50" i="52"/>
  <c r="T50" i="52"/>
  <c r="B50" i="52"/>
  <c r="V49" i="52"/>
  <c r="T49" i="52"/>
  <c r="B49" i="52"/>
  <c r="B48" i="52"/>
  <c r="V47" i="52"/>
  <c r="T47" i="52"/>
  <c r="B47" i="52"/>
  <c r="V46" i="52"/>
  <c r="T46" i="52"/>
  <c r="B46" i="52"/>
  <c r="B45" i="52"/>
  <c r="V44" i="52"/>
  <c r="T44" i="52"/>
  <c r="B44" i="52"/>
  <c r="V43" i="52"/>
  <c r="T43" i="52"/>
  <c r="B43" i="52"/>
  <c r="V42" i="52"/>
  <c r="T42" i="52"/>
  <c r="B42" i="52"/>
  <c r="V41" i="52"/>
  <c r="B41" i="52"/>
  <c r="V40" i="52"/>
  <c r="T40" i="52"/>
  <c r="B40" i="52"/>
  <c r="V39" i="52"/>
  <c r="T39" i="52"/>
  <c r="B39" i="52"/>
  <c r="V38" i="52"/>
  <c r="T38" i="52"/>
  <c r="B38" i="52"/>
  <c r="V37" i="52"/>
  <c r="T37" i="52"/>
  <c r="B37" i="52"/>
  <c r="V36" i="52"/>
  <c r="T36" i="52"/>
  <c r="B36" i="52"/>
  <c r="V35" i="52"/>
  <c r="T35" i="52"/>
  <c r="B35" i="52"/>
  <c r="V34" i="52"/>
  <c r="T34" i="52"/>
  <c r="B34" i="52"/>
  <c r="V33" i="52"/>
  <c r="T33" i="52"/>
  <c r="B33" i="52"/>
  <c r="V32" i="52"/>
  <c r="T32" i="52"/>
  <c r="B32" i="52"/>
  <c r="V31" i="52"/>
  <c r="T31" i="52"/>
  <c r="B31" i="52"/>
  <c r="V30" i="52"/>
  <c r="T30" i="52"/>
  <c r="B30" i="52"/>
  <c r="V29" i="52"/>
  <c r="T29" i="52"/>
  <c r="B29" i="52"/>
  <c r="V28" i="52"/>
  <c r="T28" i="52"/>
  <c r="B28" i="52"/>
  <c r="V27" i="52"/>
  <c r="T27" i="52"/>
  <c r="B27" i="52"/>
  <c r="V26" i="52"/>
  <c r="T26" i="52"/>
  <c r="B26" i="52"/>
  <c r="V25" i="52"/>
  <c r="T25" i="52"/>
  <c r="E25" i="52"/>
  <c r="B25" i="52"/>
  <c r="V24" i="52"/>
  <c r="T24" i="52"/>
  <c r="D24" i="52"/>
  <c r="B24" i="52"/>
  <c r="O17" i="52"/>
  <c r="L17" i="52"/>
  <c r="O16" i="52"/>
  <c r="L16" i="52"/>
  <c r="X15" i="52"/>
  <c r="P15" i="52"/>
  <c r="O15" i="52"/>
  <c r="L15" i="52"/>
  <c r="I15" i="52"/>
  <c r="C15" i="52"/>
  <c r="X14" i="52"/>
  <c r="P14" i="52"/>
  <c r="O14" i="52"/>
  <c r="L14" i="52"/>
  <c r="I14" i="52"/>
  <c r="C14" i="52"/>
  <c r="X13" i="52"/>
  <c r="P13" i="52"/>
  <c r="O13" i="52"/>
  <c r="L13" i="52"/>
  <c r="I13" i="52"/>
  <c r="C13" i="52"/>
  <c r="X12" i="52"/>
  <c r="P12" i="52"/>
  <c r="O12" i="52"/>
  <c r="L12" i="52"/>
  <c r="I12" i="52"/>
  <c r="C12" i="52"/>
  <c r="X11" i="52"/>
  <c r="P11" i="52"/>
  <c r="O11" i="52"/>
  <c r="L11" i="52"/>
  <c r="I11" i="52"/>
  <c r="C11" i="52"/>
  <c r="X10" i="52"/>
  <c r="O10" i="52"/>
  <c r="L10" i="52"/>
  <c r="C10" i="52"/>
  <c r="X9" i="52"/>
  <c r="O9" i="52"/>
  <c r="L9" i="52"/>
  <c r="C9" i="52"/>
  <c r="X8" i="52"/>
  <c r="P8" i="52"/>
  <c r="O8" i="52"/>
  <c r="L8" i="52"/>
  <c r="I8" i="52"/>
  <c r="C8" i="52"/>
  <c r="X7" i="52"/>
  <c r="P7" i="52"/>
  <c r="O7" i="52"/>
  <c r="L7" i="52"/>
  <c r="I7" i="52"/>
  <c r="C7" i="52"/>
  <c r="X6" i="52"/>
  <c r="P6" i="52"/>
  <c r="O6" i="52"/>
  <c r="L6" i="52"/>
  <c r="I6" i="52"/>
  <c r="C6" i="52"/>
  <c r="X5" i="52"/>
  <c r="P5" i="52"/>
  <c r="O5" i="52"/>
  <c r="L5" i="52"/>
  <c r="I5" i="52"/>
  <c r="C5" i="52"/>
  <c r="X4" i="52"/>
  <c r="P4" i="52"/>
  <c r="O4" i="52"/>
  <c r="L4" i="52"/>
  <c r="I4" i="52"/>
  <c r="C4" i="52"/>
  <c r="C1" i="52"/>
  <c r="R4" i="1"/>
  <c r="P5" i="1"/>
  <c r="D27" i="13" s="1"/>
  <c r="S5" i="1"/>
  <c r="O6" i="1"/>
  <c r="Q6" i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T6" i="1"/>
  <c r="T7" i="1" s="1"/>
  <c r="T8" i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C1" i="13"/>
  <c r="T61" i="13"/>
  <c r="V61" i="13"/>
  <c r="T62" i="13"/>
  <c r="V62" i="13"/>
  <c r="T63" i="13"/>
  <c r="V63" i="13"/>
  <c r="T64" i="13"/>
  <c r="V64" i="13"/>
  <c r="T65" i="13"/>
  <c r="V65" i="13"/>
  <c r="T66" i="13"/>
  <c r="O71" i="13" s="1"/>
  <c r="V66" i="13"/>
  <c r="T67" i="13"/>
  <c r="V67" i="13"/>
  <c r="T68" i="13"/>
  <c r="V68" i="13"/>
  <c r="T69" i="13"/>
  <c r="V69" i="13"/>
  <c r="T70" i="13"/>
  <c r="V70" i="13"/>
  <c r="T71" i="13"/>
  <c r="V71" i="13"/>
  <c r="T72" i="13"/>
  <c r="V72" i="13"/>
  <c r="T73" i="13"/>
  <c r="V73" i="13"/>
  <c r="T74" i="13"/>
  <c r="V74" i="13"/>
  <c r="N6" i="1"/>
  <c r="D30" i="52" s="1"/>
  <c r="S6" i="1"/>
  <c r="S7" i="1" s="1"/>
  <c r="S8" i="1" s="1"/>
  <c r="S9" i="1" s="1"/>
  <c r="S10" i="1" s="1"/>
  <c r="S11" i="1" s="1"/>
  <c r="S12" i="1" s="1"/>
  <c r="S13" i="1" s="1"/>
  <c r="S14" i="1" s="1"/>
  <c r="S15" i="1" s="1"/>
  <c r="O7" i="1"/>
  <c r="O8" i="1" s="1"/>
  <c r="O9" i="1" s="1"/>
  <c r="O10" i="1" s="1"/>
  <c r="O17" i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C63" i="13"/>
  <c r="C100" i="52"/>
  <c r="C104" i="52" s="1"/>
  <c r="O5" i="63"/>
  <c r="D19" i="63"/>
  <c r="F5" i="63"/>
  <c r="C42" i="63"/>
  <c r="O10" i="13"/>
  <c r="C48" i="63"/>
  <c r="C56" i="63"/>
  <c r="C50" i="63"/>
  <c r="C44" i="63"/>
  <c r="D21" i="63"/>
  <c r="I5" i="63"/>
  <c r="D38" i="63"/>
  <c r="D39" i="63"/>
  <c r="D37" i="63"/>
  <c r="D36" i="63"/>
  <c r="O11" i="1"/>
  <c r="O12" i="1" s="1"/>
  <c r="O13" i="1" s="1"/>
  <c r="R6" i="1"/>
  <c r="R5" i="1"/>
  <c r="L57" i="52"/>
  <c r="L56" i="52"/>
  <c r="O67" i="52"/>
  <c r="L82" i="52"/>
  <c r="I69" i="52"/>
  <c r="I76" i="52"/>
  <c r="O29" i="52"/>
  <c r="L52" i="52"/>
  <c r="L60" i="52"/>
  <c r="L34" i="52"/>
  <c r="L44" i="52"/>
  <c r="O78" i="52"/>
  <c r="L71" i="52"/>
  <c r="O45" i="52"/>
  <c r="L77" i="52"/>
  <c r="I33" i="52"/>
  <c r="L38" i="52"/>
  <c r="O34" i="52"/>
  <c r="L27" i="52"/>
  <c r="O42" i="52"/>
  <c r="I34" i="52"/>
  <c r="I58" i="52"/>
  <c r="O71" i="52"/>
  <c r="O61" i="52"/>
  <c r="I68" i="52"/>
  <c r="O56" i="52"/>
  <c r="I37" i="52"/>
  <c r="I78" i="52"/>
  <c r="O65" i="52"/>
  <c r="I44" i="52"/>
  <c r="O27" i="52"/>
  <c r="L67" i="52"/>
  <c r="I57" i="52"/>
  <c r="I59" i="52"/>
  <c r="L72" i="52"/>
  <c r="I51" i="52"/>
  <c r="I53" i="52"/>
  <c r="O60" i="52"/>
  <c r="L43" i="52"/>
  <c r="L50" i="52"/>
  <c r="L41" i="52"/>
  <c r="I32" i="52"/>
  <c r="I62" i="52"/>
  <c r="L36" i="52"/>
  <c r="O75" i="52"/>
  <c r="O31" i="52"/>
  <c r="L45" i="52"/>
  <c r="L62" i="52"/>
  <c r="I42" i="52"/>
  <c r="O35" i="52"/>
  <c r="I80" i="52"/>
  <c r="I52" i="52"/>
  <c r="I49" i="52"/>
  <c r="L39" i="52"/>
  <c r="L70" i="52"/>
  <c r="I46" i="52"/>
  <c r="I67" i="52"/>
  <c r="L65" i="52"/>
  <c r="I41" i="52"/>
  <c r="O83" i="52"/>
  <c r="I50" i="52"/>
  <c r="O81" i="52"/>
  <c r="I36" i="52"/>
  <c r="O70" i="52"/>
  <c r="O68" i="52"/>
  <c r="I63" i="52"/>
  <c r="O53" i="52"/>
  <c r="L75" i="52"/>
  <c r="L81" i="52"/>
  <c r="I72" i="52"/>
  <c r="L53" i="52"/>
  <c r="I40" i="52"/>
  <c r="I31" i="52"/>
  <c r="O64" i="52"/>
  <c r="O47" i="52"/>
  <c r="I79" i="52"/>
  <c r="I81" i="52"/>
  <c r="L37" i="52"/>
  <c r="L73" i="52"/>
  <c r="O66" i="52"/>
  <c r="I82" i="52"/>
  <c r="L58" i="52"/>
  <c r="L35" i="52"/>
  <c r="O33" i="52"/>
  <c r="O73" i="52"/>
  <c r="O32" i="52"/>
  <c r="O39" i="52"/>
  <c r="L28" i="52"/>
  <c r="O58" i="52"/>
  <c r="L78" i="52"/>
  <c r="I65" i="52"/>
  <c r="L64" i="52"/>
  <c r="I45" i="52"/>
  <c r="L68" i="52"/>
  <c r="I43" i="52"/>
  <c r="L66" i="52"/>
  <c r="L83" i="52"/>
  <c r="L69" i="52"/>
  <c r="L46" i="52"/>
  <c r="O82" i="52"/>
  <c r="L48" i="52"/>
  <c r="I38" i="52"/>
  <c r="O74" i="52"/>
  <c r="L59" i="52"/>
  <c r="L30" i="52"/>
  <c r="O37" i="52"/>
  <c r="L29" i="52"/>
  <c r="I77" i="52"/>
  <c r="I35" i="52"/>
  <c r="I61" i="52"/>
  <c r="L33" i="52"/>
  <c r="I75" i="52"/>
  <c r="O38" i="52"/>
  <c r="I48" i="52"/>
  <c r="I66" i="52"/>
  <c r="O63" i="52"/>
  <c r="I54" i="52"/>
  <c r="O48" i="52"/>
  <c r="I39" i="52"/>
  <c r="L40" i="52"/>
  <c r="O30" i="52"/>
  <c r="L63" i="52"/>
  <c r="O62" i="52"/>
  <c r="O80" i="52"/>
  <c r="L61" i="52"/>
  <c r="L79" i="52"/>
  <c r="I28" i="52"/>
  <c r="I64" i="52"/>
  <c r="O76" i="52"/>
  <c r="L74" i="52"/>
  <c r="L80" i="52"/>
  <c r="O77" i="52"/>
  <c r="I70" i="52"/>
  <c r="I30" i="52"/>
  <c r="O57" i="52"/>
  <c r="L47" i="52"/>
  <c r="I29" i="52"/>
  <c r="L42" i="52"/>
  <c r="I47" i="52"/>
  <c r="L31" i="52"/>
  <c r="I60" i="52"/>
  <c r="O59" i="52"/>
  <c r="I27" i="52"/>
  <c r="I55" i="52"/>
  <c r="I74" i="52"/>
  <c r="O40" i="52"/>
  <c r="I73" i="52"/>
  <c r="L49" i="52"/>
  <c r="O36" i="52"/>
  <c r="O44" i="52"/>
  <c r="L51" i="52"/>
  <c r="O69" i="52"/>
  <c r="L32" i="52"/>
  <c r="O46" i="52"/>
  <c r="O28" i="52"/>
  <c r="I56" i="52"/>
  <c r="L76" i="52"/>
  <c r="O43" i="52"/>
  <c r="O79" i="52"/>
  <c r="I83" i="52"/>
  <c r="O72" i="52"/>
  <c r="O41" i="52"/>
  <c r="I71" i="52"/>
  <c r="S31" i="82" l="1"/>
  <c r="P29" i="82"/>
  <c r="Q27" i="82"/>
  <c r="K27" i="82"/>
  <c r="P25" i="82"/>
  <c r="J25" i="82"/>
  <c r="Q10" i="82"/>
  <c r="Q8" i="82"/>
  <c r="K8" i="82"/>
  <c r="P6" i="82"/>
  <c r="J6" i="82"/>
  <c r="Q31" i="81"/>
  <c r="Q29" i="81"/>
  <c r="S27" i="81"/>
  <c r="M27" i="81"/>
  <c r="Q25" i="81"/>
  <c r="K25" i="81"/>
  <c r="Q12" i="81"/>
  <c r="N10" i="81"/>
  <c r="N8" i="81"/>
  <c r="S6" i="81"/>
  <c r="M6" i="81"/>
  <c r="N25" i="81"/>
  <c r="K8" i="81"/>
  <c r="Q31" i="82"/>
  <c r="N29" i="82"/>
  <c r="P27" i="82"/>
  <c r="N25" i="82"/>
  <c r="H25" i="82"/>
  <c r="S12" i="82"/>
  <c r="P10" i="82"/>
  <c r="P8" i="82"/>
  <c r="N6" i="82"/>
  <c r="H6" i="82"/>
  <c r="P29" i="81"/>
  <c r="Q27" i="81"/>
  <c r="K27" i="81"/>
  <c r="P25" i="81"/>
  <c r="J25" i="81"/>
  <c r="S10" i="81"/>
  <c r="S8" i="81"/>
  <c r="M8" i="81"/>
  <c r="Q6" i="81"/>
  <c r="K6" i="81"/>
  <c r="P27" i="81"/>
  <c r="Q8" i="81"/>
  <c r="J6" i="81"/>
  <c r="S29" i="82"/>
  <c r="N27" i="82"/>
  <c r="S25" i="82"/>
  <c r="M25" i="82"/>
  <c r="Q12" i="82"/>
  <c r="N10" i="82"/>
  <c r="N8" i="82"/>
  <c r="S6" i="82"/>
  <c r="M6" i="82"/>
  <c r="N29" i="81"/>
  <c r="Q10" i="81"/>
  <c r="Q29" i="82"/>
  <c r="S27" i="82"/>
  <c r="M27" i="82"/>
  <c r="Q25" i="82"/>
  <c r="K25" i="82"/>
  <c r="S10" i="82"/>
  <c r="S8" i="82"/>
  <c r="M8" i="82"/>
  <c r="Q6" i="82"/>
  <c r="K6" i="82"/>
  <c r="S31" i="81"/>
  <c r="S29" i="81"/>
  <c r="N27" i="81"/>
  <c r="S25" i="81"/>
  <c r="M25" i="81"/>
  <c r="S12" i="81"/>
  <c r="P10" i="81"/>
  <c r="P8" i="81"/>
  <c r="N6" i="81"/>
  <c r="H6" i="81"/>
  <c r="H25" i="81"/>
  <c r="P6" i="81"/>
  <c r="C67" i="13"/>
  <c r="E26" i="13"/>
  <c r="L24" i="64"/>
  <c r="L30" i="64"/>
  <c r="L8" i="64"/>
  <c r="L14" i="64"/>
  <c r="L12" i="64"/>
  <c r="L20" i="64"/>
  <c r="L28" i="64"/>
  <c r="L22" i="64"/>
  <c r="S16" i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M27" i="76"/>
  <c r="P25" i="76"/>
  <c r="P8" i="76"/>
  <c r="P29" i="76"/>
  <c r="M8" i="76"/>
  <c r="K27" i="76"/>
  <c r="N25" i="76"/>
  <c r="H25" i="76"/>
  <c r="P10" i="76"/>
  <c r="N8" i="76"/>
  <c r="M25" i="76"/>
  <c r="P6" i="76"/>
  <c r="P27" i="76"/>
  <c r="J6" i="76"/>
  <c r="N29" i="76"/>
  <c r="N27" i="76"/>
  <c r="K25" i="76"/>
  <c r="K8" i="76"/>
  <c r="N6" i="76"/>
  <c r="H6" i="76"/>
  <c r="J25" i="76"/>
  <c r="M6" i="76"/>
  <c r="K6" i="76"/>
  <c r="N10" i="76"/>
  <c r="L16" i="64"/>
  <c r="C69" i="13"/>
  <c r="E26" i="52"/>
  <c r="L10" i="64"/>
  <c r="L26" i="64"/>
  <c r="S31" i="76"/>
  <c r="S29" i="76"/>
  <c r="S12" i="76"/>
  <c r="Q10" i="76"/>
  <c r="S8" i="76"/>
  <c r="S6" i="76"/>
  <c r="Q31" i="76"/>
  <c r="Q29" i="76"/>
  <c r="Q12" i="76"/>
  <c r="Q8" i="76"/>
  <c r="S27" i="76"/>
  <c r="S25" i="76"/>
  <c r="Q27" i="76"/>
  <c r="Q25" i="76"/>
  <c r="S10" i="76"/>
  <c r="Q6" i="76"/>
  <c r="T6" i="76" s="1"/>
  <c r="AN32" i="63"/>
  <c r="AC50" i="63"/>
  <c r="AF33" i="63"/>
  <c r="AF34" i="63" s="1"/>
  <c r="AL30" i="63"/>
  <c r="AC48" i="63"/>
  <c r="AQ31" i="63"/>
  <c r="AI33" i="63"/>
  <c r="AI34" i="63" s="1"/>
  <c r="AN30" i="63"/>
  <c r="AK30" i="63"/>
  <c r="AC44" i="63"/>
  <c r="AL32" i="63"/>
  <c r="AQ33" i="63"/>
  <c r="AF31" i="63"/>
  <c r="AH32" i="63" s="1"/>
  <c r="AI30" i="63"/>
  <c r="AQ29" i="63"/>
  <c r="AO29" i="63"/>
  <c r="AC42" i="63"/>
  <c r="C108" i="52"/>
  <c r="M6" i="63"/>
  <c r="E10" i="63" s="1"/>
  <c r="Q29" i="63"/>
  <c r="N6" i="63"/>
  <c r="J6" i="63"/>
  <c r="K25" i="63"/>
  <c r="G29" i="63" s="1"/>
  <c r="Q8" i="63"/>
  <c r="S29" i="63"/>
  <c r="K33" i="63" s="1"/>
  <c r="K34" i="63" s="1"/>
  <c r="M25" i="63"/>
  <c r="Q12" i="63"/>
  <c r="P14" i="63" s="1"/>
  <c r="H25" i="63"/>
  <c r="G27" i="63" s="1"/>
  <c r="P25" i="63"/>
  <c r="M27" i="63"/>
  <c r="H29" i="63" s="1"/>
  <c r="P27" i="63"/>
  <c r="Q31" i="63"/>
  <c r="Q32" i="63" s="1"/>
  <c r="S12" i="63"/>
  <c r="Q10" i="63"/>
  <c r="N29" i="63"/>
  <c r="M31" i="63" s="1"/>
  <c r="N25" i="63"/>
  <c r="G31" i="63" s="1"/>
  <c r="S27" i="63"/>
  <c r="C71" i="13"/>
  <c r="N27" i="63"/>
  <c r="N7" i="1"/>
  <c r="D33" i="52" s="1"/>
  <c r="C46" i="63"/>
  <c r="P6" i="1"/>
  <c r="O16" i="13"/>
  <c r="K6" i="63"/>
  <c r="G10" i="63" s="1"/>
  <c r="P8" i="63"/>
  <c r="M8" i="63"/>
  <c r="S10" i="63"/>
  <c r="Q6" i="63"/>
  <c r="S8" i="63"/>
  <c r="S31" i="63"/>
  <c r="N8" i="63"/>
  <c r="P6" i="63"/>
  <c r="P10" i="63"/>
  <c r="S6" i="63"/>
  <c r="K8" i="63"/>
  <c r="Q27" i="63"/>
  <c r="S25" i="63"/>
  <c r="J25" i="63"/>
  <c r="N10" i="63"/>
  <c r="Q25" i="63"/>
  <c r="K27" i="63"/>
  <c r="P29" i="63"/>
  <c r="H6" i="63"/>
  <c r="L84" i="52"/>
  <c r="O102" i="52"/>
  <c r="L115" i="52"/>
  <c r="L103" i="52"/>
  <c r="L106" i="52"/>
  <c r="L108" i="52"/>
  <c r="O94" i="52"/>
  <c r="L123" i="52"/>
  <c r="O52" i="52"/>
  <c r="O85" i="52"/>
  <c r="L139" i="52"/>
  <c r="L145" i="52"/>
  <c r="L107" i="52"/>
  <c r="O25" i="52"/>
  <c r="I92" i="52"/>
  <c r="I95" i="52"/>
  <c r="O101" i="52"/>
  <c r="L96" i="52"/>
  <c r="I102" i="52"/>
  <c r="O132" i="52"/>
  <c r="O149" i="52"/>
  <c r="I126" i="52"/>
  <c r="L85" i="52"/>
  <c r="L89" i="52"/>
  <c r="L121" i="52"/>
  <c r="I96" i="52"/>
  <c r="O122" i="52"/>
  <c r="I133" i="52"/>
  <c r="I94" i="52"/>
  <c r="I111" i="52"/>
  <c r="L135" i="52"/>
  <c r="L122" i="52"/>
  <c r="O51" i="52"/>
  <c r="O109" i="52"/>
  <c r="O113" i="52"/>
  <c r="L127" i="52"/>
  <c r="I141" i="52"/>
  <c r="O104" i="52"/>
  <c r="L91" i="52"/>
  <c r="L92" i="52"/>
  <c r="O24" i="52"/>
  <c r="O137" i="52"/>
  <c r="I132" i="52"/>
  <c r="L132" i="52"/>
  <c r="L87" i="52"/>
  <c r="O26" i="52"/>
  <c r="L151" i="52"/>
  <c r="I108" i="52"/>
  <c r="I153" i="52"/>
  <c r="I130" i="52"/>
  <c r="L117" i="52"/>
  <c r="I98" i="52"/>
  <c r="I151" i="52"/>
  <c r="L99" i="52"/>
  <c r="I149" i="52"/>
  <c r="I93" i="52"/>
  <c r="O93" i="52"/>
  <c r="I100" i="52"/>
  <c r="O118" i="52"/>
  <c r="I121" i="52"/>
  <c r="L140" i="52"/>
  <c r="L24" i="52"/>
  <c r="O119" i="52"/>
  <c r="O144" i="52"/>
  <c r="L104" i="52"/>
  <c r="I140" i="52"/>
  <c r="O148" i="52"/>
  <c r="L141" i="52"/>
  <c r="O152" i="52"/>
  <c r="O136" i="52"/>
  <c r="O138" i="52"/>
  <c r="I120" i="52"/>
  <c r="O49" i="52"/>
  <c r="I114" i="52"/>
  <c r="I24" i="52"/>
  <c r="L138" i="52"/>
  <c r="O151" i="52"/>
  <c r="L149" i="52"/>
  <c r="I107" i="52"/>
  <c r="I136" i="52"/>
  <c r="L144" i="52"/>
  <c r="I124" i="52"/>
  <c r="L153" i="52"/>
  <c r="O124" i="52"/>
  <c r="O86" i="52"/>
  <c r="L119" i="52"/>
  <c r="L130" i="52"/>
  <c r="I101" i="52"/>
  <c r="L142" i="52"/>
  <c r="O147" i="52"/>
  <c r="O114" i="52"/>
  <c r="L101" i="52"/>
  <c r="L112" i="52"/>
  <c r="L136" i="52"/>
  <c r="I115" i="52"/>
  <c r="I89" i="52"/>
  <c r="L94" i="52"/>
  <c r="I137" i="52"/>
  <c r="L133" i="52"/>
  <c r="O126" i="52"/>
  <c r="I119" i="52"/>
  <c r="O125" i="52"/>
  <c r="O121" i="52"/>
  <c r="I26" i="52"/>
  <c r="O129" i="52"/>
  <c r="L88" i="52"/>
  <c r="I99" i="52"/>
  <c r="O145" i="52"/>
  <c r="L116" i="52"/>
  <c r="O111" i="52"/>
  <c r="L110" i="52"/>
  <c r="L118" i="52"/>
  <c r="O55" i="52"/>
  <c r="L55" i="52"/>
  <c r="O134" i="52"/>
  <c r="I142" i="52"/>
  <c r="L147" i="52"/>
  <c r="L137" i="52"/>
  <c r="I117" i="52"/>
  <c r="I134" i="52"/>
  <c r="O112" i="52"/>
  <c r="O87" i="52"/>
  <c r="L90" i="52"/>
  <c r="I105" i="52"/>
  <c r="I112" i="52"/>
  <c r="L131" i="52"/>
  <c r="L25" i="52"/>
  <c r="I139" i="52"/>
  <c r="L146" i="52"/>
  <c r="O131" i="52"/>
  <c r="O88" i="52"/>
  <c r="I148" i="52"/>
  <c r="O105" i="52"/>
  <c r="O99" i="52"/>
  <c r="O123" i="52"/>
  <c r="I146" i="52"/>
  <c r="L125" i="52"/>
  <c r="O146" i="52"/>
  <c r="I25" i="52"/>
  <c r="O89" i="52"/>
  <c r="L111" i="52"/>
  <c r="O95" i="52"/>
  <c r="O153" i="52"/>
  <c r="I84" i="52"/>
  <c r="O130" i="52"/>
  <c r="I86" i="52"/>
  <c r="L97" i="52"/>
  <c r="I152" i="52"/>
  <c r="O143" i="52"/>
  <c r="O90" i="52"/>
  <c r="L126" i="52"/>
  <c r="O50" i="52"/>
  <c r="O128" i="52"/>
  <c r="I143" i="52"/>
  <c r="I135" i="52"/>
  <c r="L113" i="52"/>
  <c r="I91" i="52"/>
  <c r="L86" i="52"/>
  <c r="L128" i="52"/>
  <c r="L152" i="52"/>
  <c r="I116" i="52"/>
  <c r="O127" i="52"/>
  <c r="O120" i="52"/>
  <c r="I144" i="52"/>
  <c r="O97" i="52"/>
  <c r="I127" i="52"/>
  <c r="O133" i="52"/>
  <c r="I87" i="52"/>
  <c r="L129" i="52"/>
  <c r="I106" i="52"/>
  <c r="I104" i="52"/>
  <c r="L150" i="52"/>
  <c r="O106" i="52"/>
  <c r="L109" i="52"/>
  <c r="L93" i="52"/>
  <c r="I129" i="52"/>
  <c r="L120" i="52"/>
  <c r="I113" i="52"/>
  <c r="L124" i="52"/>
  <c r="L26" i="52"/>
  <c r="I125" i="52"/>
  <c r="O100" i="52"/>
  <c r="O142" i="52"/>
  <c r="O54" i="52"/>
  <c r="L143" i="52"/>
  <c r="O139" i="52"/>
  <c r="L95" i="52"/>
  <c r="O116" i="52"/>
  <c r="O135" i="52"/>
  <c r="O91" i="52"/>
  <c r="I97" i="52"/>
  <c r="I138" i="52"/>
  <c r="O103" i="52"/>
  <c r="O96" i="52"/>
  <c r="I145" i="52"/>
  <c r="L98" i="52"/>
  <c r="I131" i="52"/>
  <c r="I109" i="52"/>
  <c r="L148" i="52"/>
  <c r="O140" i="52"/>
  <c r="I88" i="52"/>
  <c r="O107" i="52"/>
  <c r="L114" i="52"/>
  <c r="I122" i="52"/>
  <c r="I128" i="52"/>
  <c r="O141" i="52"/>
  <c r="L102" i="52"/>
  <c r="L100" i="52"/>
  <c r="I123" i="52"/>
  <c r="I90" i="52"/>
  <c r="I103" i="52"/>
  <c r="L134" i="52"/>
  <c r="I110" i="52"/>
  <c r="O84" i="52"/>
  <c r="I118" i="52"/>
  <c r="O92" i="52"/>
  <c r="O110" i="52"/>
  <c r="O108" i="52"/>
  <c r="I150" i="52"/>
  <c r="L54" i="52"/>
  <c r="O98" i="52"/>
  <c r="L105" i="52"/>
  <c r="I85" i="52"/>
  <c r="O150" i="52"/>
  <c r="O117" i="52"/>
  <c r="O115" i="52"/>
  <c r="I147" i="52"/>
  <c r="G11" i="63" l="1"/>
  <c r="V6" i="76"/>
  <c r="T25" i="76"/>
  <c r="V25" i="76"/>
  <c r="T25" i="81"/>
  <c r="V6" i="81"/>
  <c r="V25" i="81"/>
  <c r="V6" i="82"/>
  <c r="T6" i="81"/>
  <c r="T6" i="82"/>
  <c r="V25" i="82"/>
  <c r="T25" i="82"/>
  <c r="E12" i="81"/>
  <c r="P7" i="81"/>
  <c r="P9" i="81"/>
  <c r="H12" i="81"/>
  <c r="S26" i="81"/>
  <c r="E33" i="81"/>
  <c r="E34" i="81" s="1"/>
  <c r="G10" i="82"/>
  <c r="K7" i="82"/>
  <c r="K14" i="82"/>
  <c r="S11" i="82"/>
  <c r="H33" i="82"/>
  <c r="H34" i="82" s="1"/>
  <c r="S28" i="82"/>
  <c r="E10" i="82"/>
  <c r="M7" i="82"/>
  <c r="P14" i="82"/>
  <c r="Q13" i="82"/>
  <c r="S30" i="82"/>
  <c r="K33" i="82"/>
  <c r="K34" i="82" s="1"/>
  <c r="G10" i="81"/>
  <c r="K7" i="81"/>
  <c r="K14" i="81"/>
  <c r="S11" i="81"/>
  <c r="Q28" i="81"/>
  <c r="J33" i="81"/>
  <c r="J34" i="81" s="1"/>
  <c r="H12" i="82"/>
  <c r="P9" i="82"/>
  <c r="N26" i="82"/>
  <c r="G31" i="82"/>
  <c r="K9" i="81"/>
  <c r="J10" i="81"/>
  <c r="J12" i="81"/>
  <c r="N9" i="81"/>
  <c r="G33" i="81"/>
  <c r="G34" i="81" s="1"/>
  <c r="Q26" i="81"/>
  <c r="Q32" i="81"/>
  <c r="P33" i="81"/>
  <c r="P34" i="81" s="1"/>
  <c r="J14" i="82"/>
  <c r="Q9" i="82"/>
  <c r="K28" i="82"/>
  <c r="J29" i="82"/>
  <c r="H26" i="81"/>
  <c r="G27" i="81"/>
  <c r="V27" i="81" s="1"/>
  <c r="K12" i="81"/>
  <c r="P11" i="81"/>
  <c r="J31" i="81"/>
  <c r="N28" i="81"/>
  <c r="Q7" i="82"/>
  <c r="G14" i="82"/>
  <c r="G29" i="82"/>
  <c r="K26" i="82"/>
  <c r="Q30" i="82"/>
  <c r="M33" i="82"/>
  <c r="M34" i="82" s="1"/>
  <c r="E14" i="82"/>
  <c r="S7" i="82"/>
  <c r="M26" i="82"/>
  <c r="E29" i="82"/>
  <c r="E8" i="81"/>
  <c r="T8" i="81" s="1"/>
  <c r="J7" i="81"/>
  <c r="Q7" i="81"/>
  <c r="G14" i="81"/>
  <c r="E27" i="81"/>
  <c r="J26" i="81"/>
  <c r="P30" i="81"/>
  <c r="K31" i="81"/>
  <c r="K12" i="82"/>
  <c r="P11" i="82"/>
  <c r="H31" i="82"/>
  <c r="P28" i="82"/>
  <c r="G31" i="81"/>
  <c r="N26" i="81"/>
  <c r="M12" i="81"/>
  <c r="M13" i="81" s="1"/>
  <c r="N11" i="81"/>
  <c r="H29" i="81"/>
  <c r="M28" i="81"/>
  <c r="E8" i="82"/>
  <c r="J7" i="82"/>
  <c r="M14" i="82"/>
  <c r="M15" i="82" s="1"/>
  <c r="Q11" i="82"/>
  <c r="Q28" i="82"/>
  <c r="J33" i="82"/>
  <c r="J34" i="82" s="1"/>
  <c r="H7" i="81"/>
  <c r="G8" i="81"/>
  <c r="V8" i="81" s="1"/>
  <c r="N14" i="81"/>
  <c r="S13" i="81"/>
  <c r="K33" i="81"/>
  <c r="K34" i="81" s="1"/>
  <c r="S30" i="81"/>
  <c r="H10" i="82"/>
  <c r="M9" i="82"/>
  <c r="G33" i="82"/>
  <c r="G34" i="82" s="1"/>
  <c r="Q26" i="82"/>
  <c r="Q11" i="81"/>
  <c r="M14" i="81"/>
  <c r="M15" i="81" s="1"/>
  <c r="J12" i="82"/>
  <c r="J13" i="82" s="1"/>
  <c r="N9" i="82"/>
  <c r="S26" i="82"/>
  <c r="E33" i="82"/>
  <c r="E34" i="82" s="1"/>
  <c r="J14" i="81"/>
  <c r="Q9" i="81"/>
  <c r="H10" i="81"/>
  <c r="M9" i="81"/>
  <c r="E31" i="81"/>
  <c r="P26" i="81"/>
  <c r="H7" i="82"/>
  <c r="G8" i="82"/>
  <c r="V8" i="82" s="1"/>
  <c r="N14" i="82"/>
  <c r="N15" i="82" s="1"/>
  <c r="S13" i="82"/>
  <c r="M31" i="82"/>
  <c r="N30" i="82"/>
  <c r="M7" i="81"/>
  <c r="E10" i="81"/>
  <c r="P14" i="81"/>
  <c r="P15" i="81" s="1"/>
  <c r="Q13" i="81"/>
  <c r="H33" i="81"/>
  <c r="H34" i="81" s="1"/>
  <c r="S28" i="81"/>
  <c r="E12" i="82"/>
  <c r="P7" i="82"/>
  <c r="E27" i="82"/>
  <c r="J26" i="82"/>
  <c r="P30" i="82"/>
  <c r="K31" i="82"/>
  <c r="K32" i="82" s="1"/>
  <c r="G12" i="81"/>
  <c r="N7" i="81"/>
  <c r="M26" i="81"/>
  <c r="E29" i="81"/>
  <c r="N33" i="81"/>
  <c r="N34" i="81" s="1"/>
  <c r="S32" i="81"/>
  <c r="S9" i="82"/>
  <c r="H14" i="82"/>
  <c r="H15" i="82" s="1"/>
  <c r="H29" i="82"/>
  <c r="M28" i="82"/>
  <c r="M31" i="81"/>
  <c r="N30" i="81"/>
  <c r="M12" i="82"/>
  <c r="M13" i="82" s="1"/>
  <c r="N11" i="82"/>
  <c r="J31" i="82"/>
  <c r="J32" i="82" s="1"/>
  <c r="N28" i="82"/>
  <c r="H31" i="81"/>
  <c r="H32" i="81" s="1"/>
  <c r="P28" i="81"/>
  <c r="H14" i="81"/>
  <c r="S9" i="81"/>
  <c r="K28" i="81"/>
  <c r="J29" i="81"/>
  <c r="J30" i="81" s="1"/>
  <c r="G12" i="82"/>
  <c r="N7" i="82"/>
  <c r="G27" i="82"/>
  <c r="H26" i="82"/>
  <c r="Q32" i="82"/>
  <c r="P33" i="82"/>
  <c r="P34" i="82" s="1"/>
  <c r="E14" i="81"/>
  <c r="S7" i="81"/>
  <c r="G29" i="81"/>
  <c r="K26" i="81"/>
  <c r="Q30" i="81"/>
  <c r="M33" i="81"/>
  <c r="M34" i="81" s="1"/>
  <c r="K9" i="82"/>
  <c r="J10" i="82"/>
  <c r="J11" i="82" s="1"/>
  <c r="P26" i="82"/>
  <c r="E31" i="82"/>
  <c r="N33" i="82"/>
  <c r="N34" i="82" s="1"/>
  <c r="S32" i="82"/>
  <c r="E27" i="13"/>
  <c r="G10" i="76"/>
  <c r="K7" i="76"/>
  <c r="G12" i="76"/>
  <c r="N7" i="76"/>
  <c r="M31" i="76"/>
  <c r="N30" i="76"/>
  <c r="M26" i="76"/>
  <c r="E29" i="76"/>
  <c r="G31" i="76"/>
  <c r="N26" i="76"/>
  <c r="H12" i="76"/>
  <c r="P9" i="76"/>
  <c r="M7" i="76"/>
  <c r="E10" i="76"/>
  <c r="J10" i="76"/>
  <c r="V10" i="76" s="1"/>
  <c r="K9" i="76"/>
  <c r="E8" i="76"/>
  <c r="J7" i="76"/>
  <c r="N9" i="76"/>
  <c r="J12" i="76"/>
  <c r="J29" i="76"/>
  <c r="K28" i="76"/>
  <c r="P26" i="76"/>
  <c r="E31" i="76"/>
  <c r="E27" i="52"/>
  <c r="E27" i="76"/>
  <c r="T27" i="76" s="1"/>
  <c r="J26" i="76"/>
  <c r="G29" i="76"/>
  <c r="K26" i="76"/>
  <c r="H31" i="76"/>
  <c r="P28" i="76"/>
  <c r="K12" i="76"/>
  <c r="P11" i="76"/>
  <c r="H10" i="76"/>
  <c r="M9" i="76"/>
  <c r="H29" i="76"/>
  <c r="M28" i="76"/>
  <c r="M12" i="76"/>
  <c r="N11" i="76"/>
  <c r="G8" i="76"/>
  <c r="H7" i="76"/>
  <c r="J31" i="76"/>
  <c r="N28" i="76"/>
  <c r="E12" i="76"/>
  <c r="P7" i="76"/>
  <c r="G27" i="76"/>
  <c r="H26" i="76"/>
  <c r="P30" i="76"/>
  <c r="K31" i="76"/>
  <c r="M26" i="63"/>
  <c r="G14" i="76"/>
  <c r="G15" i="76" s="1"/>
  <c r="Q7" i="76"/>
  <c r="S26" i="76"/>
  <c r="E33" i="76"/>
  <c r="E34" i="76" s="1"/>
  <c r="Q30" i="76"/>
  <c r="M33" i="76"/>
  <c r="M34" i="76" s="1"/>
  <c r="M14" i="76"/>
  <c r="M15" i="76" s="1"/>
  <c r="Q11" i="76"/>
  <c r="S11" i="76"/>
  <c r="K14" i="76"/>
  <c r="K15" i="76" s="1"/>
  <c r="H33" i="76"/>
  <c r="H34" i="76" s="1"/>
  <c r="S28" i="76"/>
  <c r="P33" i="76"/>
  <c r="P34" i="76" s="1"/>
  <c r="Q32" i="76"/>
  <c r="N14" i="76"/>
  <c r="N15" i="76" s="1"/>
  <c r="S13" i="76"/>
  <c r="G33" i="76"/>
  <c r="G34" i="76" s="1"/>
  <c r="Q26" i="76"/>
  <c r="J14" i="76"/>
  <c r="J15" i="76" s="1"/>
  <c r="Q9" i="76"/>
  <c r="E14" i="76"/>
  <c r="E15" i="76" s="1"/>
  <c r="S7" i="76"/>
  <c r="S30" i="76"/>
  <c r="K33" i="76"/>
  <c r="K34" i="76" s="1"/>
  <c r="J33" i="76"/>
  <c r="J34" i="76" s="1"/>
  <c r="Q28" i="76"/>
  <c r="Q13" i="76"/>
  <c r="P14" i="76"/>
  <c r="P15" i="76" s="1"/>
  <c r="S9" i="76"/>
  <c r="H14" i="76"/>
  <c r="H15" i="76" s="1"/>
  <c r="S32" i="76"/>
  <c r="N33" i="76"/>
  <c r="N34" i="76" s="1"/>
  <c r="AH34" i="63"/>
  <c r="AQ32" i="63"/>
  <c r="E11" i="63"/>
  <c r="Q9" i="63"/>
  <c r="N7" i="63"/>
  <c r="Q11" i="63"/>
  <c r="AO33" i="63"/>
  <c r="AO30" i="63"/>
  <c r="AK34" i="63"/>
  <c r="AQ30" i="63"/>
  <c r="AO34" i="63"/>
  <c r="AF32" i="63"/>
  <c r="AO32" i="63" s="1"/>
  <c r="AO31" i="63"/>
  <c r="C112" i="52"/>
  <c r="G12" i="63"/>
  <c r="H26" i="63"/>
  <c r="K26" i="63"/>
  <c r="J14" i="63"/>
  <c r="M7" i="63"/>
  <c r="Q30" i="63"/>
  <c r="M33" i="63"/>
  <c r="M34" i="63" s="1"/>
  <c r="S30" i="63"/>
  <c r="V27" i="63"/>
  <c r="N30" i="63"/>
  <c r="Q13" i="63"/>
  <c r="M28" i="63"/>
  <c r="E29" i="63"/>
  <c r="E30" i="63" s="1"/>
  <c r="P33" i="63"/>
  <c r="P34" i="63" s="1"/>
  <c r="M14" i="63"/>
  <c r="K7" i="63"/>
  <c r="N26" i="63"/>
  <c r="J31" i="63"/>
  <c r="N28" i="63"/>
  <c r="S28" i="63"/>
  <c r="H33" i="63"/>
  <c r="H34" i="63" s="1"/>
  <c r="N8" i="1"/>
  <c r="D37" i="52" s="1"/>
  <c r="R7" i="1"/>
  <c r="C75" i="13"/>
  <c r="C79" i="13" s="1"/>
  <c r="N14" i="63"/>
  <c r="N15" i="63" s="1"/>
  <c r="S13" i="63"/>
  <c r="E31" i="63"/>
  <c r="E32" i="63" s="1"/>
  <c r="P26" i="63"/>
  <c r="E8" i="63"/>
  <c r="J7" i="63"/>
  <c r="P7" i="1"/>
  <c r="D31" i="13"/>
  <c r="H31" i="63"/>
  <c r="P28" i="63"/>
  <c r="V6" i="63"/>
  <c r="T6" i="63"/>
  <c r="V25" i="63"/>
  <c r="J29" i="63"/>
  <c r="H30" i="63" s="1"/>
  <c r="K28" i="63"/>
  <c r="E14" i="63"/>
  <c r="S7" i="63"/>
  <c r="G33" i="63"/>
  <c r="T25" i="63"/>
  <c r="Q26" i="63"/>
  <c r="S26" i="63"/>
  <c r="E33" i="63"/>
  <c r="K12" i="63"/>
  <c r="P11" i="63"/>
  <c r="J12" i="63"/>
  <c r="N9" i="63"/>
  <c r="H10" i="63"/>
  <c r="M9" i="63"/>
  <c r="G8" i="63"/>
  <c r="H7" i="63"/>
  <c r="M12" i="63"/>
  <c r="N11" i="63"/>
  <c r="J33" i="63"/>
  <c r="J34" i="63" s="1"/>
  <c r="Q28" i="63"/>
  <c r="S32" i="63"/>
  <c r="N33" i="63"/>
  <c r="N34" i="63" s="1"/>
  <c r="G14" i="63"/>
  <c r="G15" i="63" s="1"/>
  <c r="Q7" i="63"/>
  <c r="H12" i="63"/>
  <c r="P9" i="63"/>
  <c r="P30" i="63"/>
  <c r="K31" i="63"/>
  <c r="M32" i="63" s="1"/>
  <c r="E27" i="63"/>
  <c r="G28" i="63" s="1"/>
  <c r="J26" i="63"/>
  <c r="J10" i="63"/>
  <c r="K9" i="63"/>
  <c r="E12" i="63"/>
  <c r="P7" i="63"/>
  <c r="H14" i="63"/>
  <c r="H15" i="63" s="1"/>
  <c r="S9" i="63"/>
  <c r="S11" i="63"/>
  <c r="K14" i="63"/>
  <c r="H15" i="81" l="1"/>
  <c r="G9" i="76"/>
  <c r="J13" i="81"/>
  <c r="H30" i="82"/>
  <c r="J15" i="81"/>
  <c r="J15" i="82"/>
  <c r="J30" i="82"/>
  <c r="K15" i="82"/>
  <c r="H30" i="81"/>
  <c r="H11" i="81"/>
  <c r="K15" i="81"/>
  <c r="H13" i="82"/>
  <c r="H32" i="82"/>
  <c r="H13" i="81"/>
  <c r="P15" i="82"/>
  <c r="J32" i="81"/>
  <c r="N15" i="81"/>
  <c r="H11" i="82"/>
  <c r="M32" i="82"/>
  <c r="J11" i="81"/>
  <c r="M32" i="81"/>
  <c r="E32" i="82"/>
  <c r="T31" i="82"/>
  <c r="G32" i="82"/>
  <c r="V31" i="82"/>
  <c r="K13" i="82"/>
  <c r="T26" i="82"/>
  <c r="K32" i="81"/>
  <c r="K13" i="81"/>
  <c r="V26" i="82"/>
  <c r="E11" i="81"/>
  <c r="T10" i="81"/>
  <c r="V7" i="81"/>
  <c r="G30" i="81"/>
  <c r="V30" i="81" s="1"/>
  <c r="V29" i="81"/>
  <c r="E13" i="82"/>
  <c r="T12" i="82"/>
  <c r="T7" i="82"/>
  <c r="E9" i="82"/>
  <c r="T9" i="82" s="1"/>
  <c r="T8" i="82"/>
  <c r="G11" i="81"/>
  <c r="V10" i="81"/>
  <c r="G11" i="82"/>
  <c r="V11" i="82" s="1"/>
  <c r="V10" i="82"/>
  <c r="V26" i="81"/>
  <c r="E15" i="81"/>
  <c r="T14" i="81"/>
  <c r="G28" i="82"/>
  <c r="V28" i="82" s="1"/>
  <c r="V27" i="82"/>
  <c r="G13" i="81"/>
  <c r="V12" i="81"/>
  <c r="E32" i="81"/>
  <c r="T32" i="81" s="1"/>
  <c r="T31" i="81"/>
  <c r="T7" i="81"/>
  <c r="G32" i="81"/>
  <c r="V31" i="81"/>
  <c r="E28" i="81"/>
  <c r="T28" i="81" s="1"/>
  <c r="T27" i="81"/>
  <c r="E15" i="82"/>
  <c r="T14" i="82"/>
  <c r="G30" i="82"/>
  <c r="V30" i="82" s="1"/>
  <c r="V29" i="82"/>
  <c r="T26" i="81"/>
  <c r="E11" i="82"/>
  <c r="T10" i="82"/>
  <c r="E13" i="81"/>
  <c r="T12" i="81"/>
  <c r="E30" i="81"/>
  <c r="T29" i="81"/>
  <c r="V7" i="82"/>
  <c r="G15" i="81"/>
  <c r="V14" i="81"/>
  <c r="E30" i="82"/>
  <c r="T30" i="82" s="1"/>
  <c r="T29" i="82"/>
  <c r="G15" i="82"/>
  <c r="V14" i="82"/>
  <c r="G9" i="82"/>
  <c r="V9" i="82" s="1"/>
  <c r="G28" i="81"/>
  <c r="V28" i="81" s="1"/>
  <c r="E9" i="81"/>
  <c r="T9" i="81" s="1"/>
  <c r="G9" i="81"/>
  <c r="V9" i="81" s="1"/>
  <c r="V12" i="82"/>
  <c r="G13" i="82"/>
  <c r="V13" i="82" s="1"/>
  <c r="T27" i="82"/>
  <c r="E28" i="82"/>
  <c r="T28" i="82" s="1"/>
  <c r="E28" i="13"/>
  <c r="V9" i="76"/>
  <c r="V26" i="76"/>
  <c r="K32" i="76"/>
  <c r="V31" i="76"/>
  <c r="E32" i="76"/>
  <c r="M13" i="76"/>
  <c r="V7" i="76"/>
  <c r="T26" i="76"/>
  <c r="T7" i="76"/>
  <c r="T12" i="76"/>
  <c r="V12" i="76"/>
  <c r="J30" i="76"/>
  <c r="T29" i="76"/>
  <c r="H11" i="76"/>
  <c r="H32" i="76"/>
  <c r="H13" i="76"/>
  <c r="T10" i="76"/>
  <c r="T31" i="76"/>
  <c r="H30" i="76"/>
  <c r="K13" i="76"/>
  <c r="J13" i="76"/>
  <c r="E28" i="76"/>
  <c r="T28" i="76" s="1"/>
  <c r="G28" i="76"/>
  <c r="V28" i="76" s="1"/>
  <c r="J32" i="76"/>
  <c r="V27" i="76"/>
  <c r="J11" i="76"/>
  <c r="G32" i="76"/>
  <c r="M32" i="76"/>
  <c r="G11" i="76"/>
  <c r="E11" i="76"/>
  <c r="T11" i="76" s="1"/>
  <c r="G30" i="76"/>
  <c r="V30" i="76" s="1"/>
  <c r="E30" i="76"/>
  <c r="T30" i="76" s="1"/>
  <c r="V29" i="76"/>
  <c r="G13" i="76"/>
  <c r="E13" i="76"/>
  <c r="E28" i="52"/>
  <c r="E9" i="76"/>
  <c r="T9" i="76" s="1"/>
  <c r="V8" i="76"/>
  <c r="T8" i="76"/>
  <c r="H32" i="63"/>
  <c r="AQ34" i="63"/>
  <c r="AS34" i="63" s="1"/>
  <c r="K15" i="63"/>
  <c r="G32" i="63"/>
  <c r="J32" i="63"/>
  <c r="G30" i="63"/>
  <c r="K13" i="63"/>
  <c r="E9" i="63"/>
  <c r="T9" i="63" s="1"/>
  <c r="H13" i="63"/>
  <c r="J15" i="63"/>
  <c r="G13" i="63"/>
  <c r="M15" i="63"/>
  <c r="P15" i="63"/>
  <c r="M13" i="63"/>
  <c r="E34" i="63"/>
  <c r="T34" i="63" s="1"/>
  <c r="T33" i="63"/>
  <c r="G34" i="63"/>
  <c r="V34" i="63" s="1"/>
  <c r="V33" i="63"/>
  <c r="AS30" i="63"/>
  <c r="AS32" i="63"/>
  <c r="C116" i="52"/>
  <c r="V26" i="63"/>
  <c r="T29" i="63"/>
  <c r="T30" i="63"/>
  <c r="T8" i="63"/>
  <c r="T26" i="63"/>
  <c r="V28" i="63"/>
  <c r="V31" i="63"/>
  <c r="C81" i="13"/>
  <c r="C83" i="13" s="1"/>
  <c r="P8" i="1"/>
  <c r="D35" i="13"/>
  <c r="R8" i="1"/>
  <c r="N9" i="1"/>
  <c r="D40" i="52" s="1"/>
  <c r="V14" i="63"/>
  <c r="V7" i="63"/>
  <c r="T7" i="63"/>
  <c r="E13" i="63"/>
  <c r="T12" i="63"/>
  <c r="T27" i="63"/>
  <c r="E28" i="63"/>
  <c r="T28" i="63" s="1"/>
  <c r="V8" i="63"/>
  <c r="G9" i="63"/>
  <c r="V9" i="63" s="1"/>
  <c r="T10" i="63"/>
  <c r="H11" i="63"/>
  <c r="T11" i="63" s="1"/>
  <c r="T31" i="63"/>
  <c r="K32" i="63"/>
  <c r="T14" i="63"/>
  <c r="E15" i="63"/>
  <c r="T15" i="63" s="1"/>
  <c r="J11" i="63"/>
  <c r="V11" i="63" s="1"/>
  <c r="V10" i="63"/>
  <c r="J13" i="63"/>
  <c r="V12" i="63"/>
  <c r="J30" i="63"/>
  <c r="V29" i="63"/>
  <c r="V13" i="81" l="1"/>
  <c r="T30" i="81"/>
  <c r="V15" i="81"/>
  <c r="V15" i="82"/>
  <c r="T15" i="82"/>
  <c r="T11" i="81"/>
  <c r="T15" i="81"/>
  <c r="X15" i="81" s="1"/>
  <c r="T32" i="82"/>
  <c r="T11" i="82"/>
  <c r="X11" i="82" s="1"/>
  <c r="V11" i="81"/>
  <c r="X11" i="81" s="1"/>
  <c r="V32" i="81"/>
  <c r="X32" i="81" s="1"/>
  <c r="V32" i="82"/>
  <c r="X32" i="82" s="1"/>
  <c r="X26" i="82"/>
  <c r="X9" i="82"/>
  <c r="T13" i="82"/>
  <c r="X13" i="82" s="1"/>
  <c r="X28" i="81"/>
  <c r="T13" i="81"/>
  <c r="X13" i="81" s="1"/>
  <c r="X9" i="81"/>
  <c r="X26" i="81"/>
  <c r="X7" i="82"/>
  <c r="X7" i="81"/>
  <c r="X30" i="81"/>
  <c r="X30" i="82"/>
  <c r="X28" i="82"/>
  <c r="X26" i="76"/>
  <c r="T13" i="76"/>
  <c r="T32" i="76"/>
  <c r="X7" i="76"/>
  <c r="X9" i="76"/>
  <c r="V32" i="76"/>
  <c r="X28" i="76"/>
  <c r="V11" i="76"/>
  <c r="X11" i="76" s="1"/>
  <c r="V13" i="76"/>
  <c r="X30" i="76"/>
  <c r="E29" i="52"/>
  <c r="T32" i="63"/>
  <c r="V30" i="63"/>
  <c r="X30" i="63" s="1"/>
  <c r="V13" i="63"/>
  <c r="V15" i="63"/>
  <c r="X15" i="63" s="1"/>
  <c r="T13" i="63"/>
  <c r="V32" i="63"/>
  <c r="AR29" i="63"/>
  <c r="AR31" i="63"/>
  <c r="AR33" i="63"/>
  <c r="C120" i="52"/>
  <c r="C124" i="52" s="1"/>
  <c r="C129" i="52" s="1"/>
  <c r="C134" i="52" s="1"/>
  <c r="C139" i="52" s="1"/>
  <c r="C144" i="52" s="1"/>
  <c r="C149" i="52" s="1"/>
  <c r="X26" i="63"/>
  <c r="D39" i="13"/>
  <c r="P9" i="1"/>
  <c r="R9" i="1"/>
  <c r="N10" i="1"/>
  <c r="D43" i="52" s="1"/>
  <c r="D44" i="52"/>
  <c r="X7" i="63"/>
  <c r="X28" i="63"/>
  <c r="X11" i="63"/>
  <c r="X9" i="63"/>
  <c r="X15" i="82" l="1"/>
  <c r="W14" i="82" s="1"/>
  <c r="W8" i="81"/>
  <c r="W14" i="81"/>
  <c r="W29" i="82"/>
  <c r="W10" i="82"/>
  <c r="W8" i="82"/>
  <c r="W25" i="82"/>
  <c r="W31" i="82"/>
  <c r="W27" i="82"/>
  <c r="W6" i="82"/>
  <c r="AC6" i="82" s="1"/>
  <c r="W10" i="81"/>
  <c r="W12" i="81"/>
  <c r="W12" i="82"/>
  <c r="W6" i="81"/>
  <c r="AC6" i="81" s="1"/>
  <c r="X13" i="76"/>
  <c r="W29" i="81"/>
  <c r="W31" i="81"/>
  <c r="W25" i="81"/>
  <c r="AC25" i="81" s="1"/>
  <c r="W27" i="81"/>
  <c r="X32" i="76"/>
  <c r="W31" i="76" s="1"/>
  <c r="W6" i="76"/>
  <c r="W10" i="76"/>
  <c r="W12" i="76"/>
  <c r="W8" i="76"/>
  <c r="E30" i="52"/>
  <c r="X32" i="63"/>
  <c r="W31" i="63" s="1"/>
  <c r="X13" i="63"/>
  <c r="W12" i="63" s="1"/>
  <c r="R10" i="1"/>
  <c r="N11" i="1"/>
  <c r="D47" i="52" s="1"/>
  <c r="D43" i="13"/>
  <c r="P10" i="1"/>
  <c r="W29" i="76" l="1"/>
  <c r="W25" i="76"/>
  <c r="W27" i="76"/>
  <c r="AC8" i="76"/>
  <c r="L6" i="13" s="1"/>
  <c r="C12" i="13"/>
  <c r="C5" i="13"/>
  <c r="I5" i="13"/>
  <c r="AC14" i="81"/>
  <c r="AC8" i="81"/>
  <c r="AC10" i="82"/>
  <c r="AC25" i="82"/>
  <c r="AC8" i="82"/>
  <c r="AC14" i="82"/>
  <c r="AC31" i="82"/>
  <c r="AC12" i="82"/>
  <c r="AC27" i="82"/>
  <c r="AC29" i="82"/>
  <c r="AC12" i="81"/>
  <c r="AC10" i="81"/>
  <c r="AC31" i="81"/>
  <c r="AC29" i="81"/>
  <c r="AC27" i="81"/>
  <c r="AC12" i="76"/>
  <c r="AC25" i="76"/>
  <c r="AC31" i="76"/>
  <c r="AC27" i="76"/>
  <c r="W8" i="63"/>
  <c r="AC29" i="76"/>
  <c r="W10" i="63"/>
  <c r="E31" i="52"/>
  <c r="AC6" i="76"/>
  <c r="AC10" i="76"/>
  <c r="W14" i="63"/>
  <c r="W25" i="63"/>
  <c r="W27" i="63"/>
  <c r="W6" i="63"/>
  <c r="W29" i="63"/>
  <c r="N12" i="1"/>
  <c r="D50" i="52" s="1"/>
  <c r="R11" i="1"/>
  <c r="D47" i="13"/>
  <c r="P11" i="1"/>
  <c r="D51" i="13" s="1"/>
  <c r="I35" i="13"/>
  <c r="O29" i="13"/>
  <c r="I42" i="13"/>
  <c r="I45" i="13"/>
  <c r="I10" i="13" l="1"/>
  <c r="AE29" i="76"/>
  <c r="Q59" i="76" s="1"/>
  <c r="C7" i="13"/>
  <c r="AE29" i="82"/>
  <c r="Q58" i="82" s="1"/>
  <c r="I12" i="13"/>
  <c r="L14" i="13"/>
  <c r="L13" i="13"/>
  <c r="C13" i="13"/>
  <c r="I15" i="13"/>
  <c r="I7" i="13"/>
  <c r="C14" i="13"/>
  <c r="I14" i="13"/>
  <c r="C6" i="13"/>
  <c r="L7" i="13"/>
  <c r="L5" i="13"/>
  <c r="L12" i="13"/>
  <c r="C15" i="13"/>
  <c r="I13" i="13"/>
  <c r="I6" i="13"/>
  <c r="C9" i="13"/>
  <c r="AE31" i="81"/>
  <c r="Q60" i="81" s="1"/>
  <c r="AE33" i="82"/>
  <c r="Q59" i="82" s="1"/>
  <c r="I9" i="13"/>
  <c r="AE31" i="82"/>
  <c r="Q60" i="82" s="1"/>
  <c r="I8" i="13"/>
  <c r="C8" i="13"/>
  <c r="AE29" i="81"/>
  <c r="Q58" i="81" s="1"/>
  <c r="AE33" i="81"/>
  <c r="Q59" i="81" s="1"/>
  <c r="L8" i="13"/>
  <c r="AE33" i="76"/>
  <c r="Q58" i="76" s="1"/>
  <c r="L15" i="13"/>
  <c r="AC8" i="63"/>
  <c r="I11" i="13"/>
  <c r="E32" i="52"/>
  <c r="AC10" i="63"/>
  <c r="AC6" i="63"/>
  <c r="AC14" i="63"/>
  <c r="AC12" i="63"/>
  <c r="AC27" i="63"/>
  <c r="AC29" i="63"/>
  <c r="AC25" i="63"/>
  <c r="AC31" i="63"/>
  <c r="P12" i="1"/>
  <c r="D55" i="13" s="1"/>
  <c r="N13" i="1"/>
  <c r="R12" i="1"/>
  <c r="O32" i="13"/>
  <c r="I28" i="13"/>
  <c r="I46" i="13"/>
  <c r="L36" i="13"/>
  <c r="I27" i="13"/>
  <c r="I26" i="13"/>
  <c r="O39" i="13"/>
  <c r="I32" i="13"/>
  <c r="O23" i="13"/>
  <c r="L40" i="13"/>
  <c r="I40" i="13"/>
  <c r="I31" i="13"/>
  <c r="I47" i="13"/>
  <c r="I24" i="13"/>
  <c r="L26" i="13"/>
  <c r="O40" i="13"/>
  <c r="I44" i="13"/>
  <c r="O27" i="13"/>
  <c r="L30" i="13"/>
  <c r="I36" i="13"/>
  <c r="I39" i="13"/>
  <c r="I48" i="13"/>
  <c r="I23" i="13"/>
  <c r="L28" i="13"/>
  <c r="I43" i="13"/>
  <c r="O31" i="13"/>
  <c r="L27" i="13"/>
  <c r="L31" i="13"/>
  <c r="I34" i="13"/>
  <c r="O36" i="13"/>
  <c r="O28" i="13"/>
  <c r="L34" i="13"/>
  <c r="L32" i="13"/>
  <c r="L39" i="13"/>
  <c r="L29" i="13"/>
  <c r="O26" i="13"/>
  <c r="O35" i="13"/>
  <c r="I30" i="13"/>
  <c r="O30" i="13"/>
  <c r="I29" i="13"/>
  <c r="L42" i="13"/>
  <c r="O34" i="13"/>
  <c r="O24" i="13"/>
  <c r="L35" i="13"/>
  <c r="D48" i="76" l="1"/>
  <c r="D48" i="82"/>
  <c r="D50" i="82"/>
  <c r="O12" i="13"/>
  <c r="O5" i="13"/>
  <c r="O13" i="13"/>
  <c r="O7" i="13"/>
  <c r="O6" i="13"/>
  <c r="O14" i="13"/>
  <c r="O8" i="13"/>
  <c r="AE29" i="63"/>
  <c r="O9" i="13"/>
  <c r="AE31" i="63"/>
  <c r="D50" i="76"/>
  <c r="AE33" i="63"/>
  <c r="O15" i="13"/>
  <c r="L51" i="13"/>
  <c r="I51" i="13"/>
  <c r="L43" i="13"/>
  <c r="D44" i="82"/>
  <c r="D46" i="82"/>
  <c r="L44" i="13"/>
  <c r="O44" i="13"/>
  <c r="D50" i="81"/>
  <c r="D48" i="81"/>
  <c r="N14" i="1"/>
  <c r="D56" i="52" s="1"/>
  <c r="D53" i="52"/>
  <c r="D42" i="76"/>
  <c r="D44" i="76"/>
  <c r="E33" i="52"/>
  <c r="Q60" i="63"/>
  <c r="C10" i="13"/>
  <c r="C11" i="13"/>
  <c r="R13" i="1"/>
  <c r="O38" i="13"/>
  <c r="I33" i="13"/>
  <c r="O37" i="13"/>
  <c r="I37" i="13"/>
  <c r="L41" i="13"/>
  <c r="L25" i="13"/>
  <c r="I49" i="13"/>
  <c r="L24" i="13"/>
  <c r="L37" i="13"/>
  <c r="L38" i="13"/>
  <c r="I25" i="13"/>
  <c r="O25" i="13"/>
  <c r="L33" i="13"/>
  <c r="I38" i="13"/>
  <c r="L23" i="13"/>
  <c r="O33" i="13"/>
  <c r="O41" i="13"/>
  <c r="I50" i="13"/>
  <c r="I41" i="13"/>
  <c r="Q56" i="81" l="1"/>
  <c r="O42" i="13"/>
  <c r="D48" i="63"/>
  <c r="D50" i="63"/>
  <c r="Q59" i="63"/>
  <c r="Q58" i="63"/>
  <c r="D54" i="81"/>
  <c r="Q55" i="81"/>
  <c r="D58" i="81"/>
  <c r="D42" i="82"/>
  <c r="D42" i="81"/>
  <c r="D44" i="81"/>
  <c r="N15" i="1"/>
  <c r="D59" i="52" s="1"/>
  <c r="E34" i="52"/>
  <c r="D44" i="63"/>
  <c r="D42" i="63"/>
  <c r="D46" i="63"/>
  <c r="D46" i="81"/>
  <c r="R14" i="1"/>
  <c r="P14" i="1"/>
  <c r="D60" i="13" s="1"/>
  <c r="E35" i="52" l="1"/>
  <c r="P15" i="1"/>
  <c r="D61" i="13" s="1"/>
  <c r="D63" i="13"/>
  <c r="N16" i="1"/>
  <c r="D62" i="52" s="1"/>
  <c r="R15" i="1"/>
  <c r="E36" i="52" l="1"/>
  <c r="P16" i="1"/>
  <c r="D62" i="13" s="1"/>
  <c r="D67" i="13"/>
  <c r="N17" i="1"/>
  <c r="D65" i="52" s="1"/>
  <c r="R16" i="1"/>
  <c r="E37" i="52" l="1"/>
  <c r="D69" i="13"/>
  <c r="P17" i="1"/>
  <c r="N18" i="1"/>
  <c r="D68" i="52" s="1"/>
  <c r="R17" i="1"/>
  <c r="E38" i="52" l="1"/>
  <c r="D71" i="13"/>
  <c r="P18" i="1"/>
  <c r="P19" i="1" s="1"/>
  <c r="P20" i="1" s="1"/>
  <c r="R18" i="1"/>
  <c r="N19" i="1"/>
  <c r="D71" i="52" s="1"/>
  <c r="E39" i="52" l="1"/>
  <c r="R19" i="1"/>
  <c r="N20" i="1"/>
  <c r="D74" i="52" s="1"/>
  <c r="P21" i="1"/>
  <c r="D75" i="13"/>
  <c r="E40" i="52" l="1"/>
  <c r="P22" i="1"/>
  <c r="D79" i="13"/>
  <c r="N21" i="1"/>
  <c r="D77" i="52" s="1"/>
  <c r="R20" i="1"/>
  <c r="E41" i="52" l="1"/>
  <c r="N22" i="1"/>
  <c r="D80" i="52" s="1"/>
  <c r="R21" i="1"/>
  <c r="P23" i="1"/>
  <c r="D81" i="13"/>
  <c r="E42" i="52" l="1"/>
  <c r="N23" i="1"/>
  <c r="D83" i="52" s="1"/>
  <c r="R22" i="1"/>
  <c r="D83" i="13"/>
  <c r="P24" i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E43" i="52" l="1"/>
  <c r="D100" i="52"/>
  <c r="N24" i="1"/>
  <c r="D84" i="52" s="1"/>
  <c r="R23" i="1"/>
  <c r="E44" i="52" l="1"/>
  <c r="N25" i="1"/>
  <c r="D87" i="52" s="1"/>
  <c r="D104" i="52"/>
  <c r="R24" i="1"/>
  <c r="E45" i="52" l="1"/>
  <c r="D108" i="52"/>
  <c r="D97" i="52"/>
  <c r="N26" i="1"/>
  <c r="D90" i="52" s="1"/>
  <c r="R25" i="1"/>
  <c r="E46" i="52" l="1"/>
  <c r="R26" i="1"/>
  <c r="N27" i="1"/>
  <c r="D93" i="52" s="1"/>
  <c r="D112" i="52"/>
  <c r="E47" i="52" l="1"/>
  <c r="R27" i="1"/>
  <c r="N28" i="1"/>
  <c r="D116" i="52"/>
  <c r="E48" i="52" l="1"/>
  <c r="D120" i="52"/>
  <c r="N29" i="1"/>
  <c r="R28" i="1"/>
  <c r="E49" i="52" l="1"/>
  <c r="D129" i="52"/>
  <c r="R29" i="1"/>
  <c r="D124" i="52"/>
  <c r="N30" i="1"/>
  <c r="E50" i="52" l="1"/>
  <c r="R30" i="1"/>
  <c r="N31" i="1"/>
  <c r="E51" i="52" l="1"/>
  <c r="R31" i="1"/>
  <c r="N32" i="1"/>
  <c r="E52" i="52" l="1"/>
  <c r="R32" i="1"/>
  <c r="D134" i="52"/>
  <c r="N33" i="1"/>
  <c r="E53" i="52" l="1"/>
  <c r="D139" i="52"/>
  <c r="N34" i="1"/>
  <c r="R33" i="1"/>
  <c r="E54" i="52" l="1"/>
  <c r="N35" i="1"/>
  <c r="R34" i="1"/>
  <c r="D144" i="52"/>
  <c r="E55" i="52" l="1"/>
  <c r="D149" i="52"/>
  <c r="R35" i="1"/>
  <c r="E56" i="52" l="1"/>
  <c r="E57" i="52" l="1"/>
  <c r="E58" i="52" l="1"/>
  <c r="E59" i="52" l="1"/>
  <c r="E60" i="52" l="1"/>
  <c r="E61" i="52" l="1"/>
  <c r="E62" i="52" l="1"/>
  <c r="E63" i="52" l="1"/>
  <c r="E64" i="52" l="1"/>
  <c r="E65" i="52" l="1"/>
  <c r="E66" i="52" l="1"/>
  <c r="E67" i="52" l="1"/>
  <c r="E68" i="52" l="1"/>
  <c r="E69" i="52" l="1"/>
  <c r="E70" i="52" l="1"/>
  <c r="E71" i="52" l="1"/>
  <c r="E72" i="52" l="1"/>
  <c r="E73" i="52" l="1"/>
  <c r="E74" i="52" l="1"/>
  <c r="E75" i="52" l="1"/>
  <c r="E76" i="52" l="1"/>
  <c r="E77" i="52" l="1"/>
  <c r="E78" i="52" l="1"/>
  <c r="E79" i="52" l="1"/>
  <c r="E80" i="52" l="1"/>
  <c r="E81" i="52" l="1"/>
  <c r="E82" i="52" l="1"/>
  <c r="E83" i="52" l="1"/>
  <c r="E84" i="52" l="1"/>
  <c r="E85" i="52" l="1"/>
  <c r="E86" i="52" l="1"/>
  <c r="E87" i="52" l="1"/>
  <c r="E88" i="52" l="1"/>
  <c r="E89" i="52" l="1"/>
  <c r="E90" i="52" l="1"/>
  <c r="E91" i="52" l="1"/>
  <c r="E92" i="52" l="1"/>
  <c r="E93" i="52" l="1"/>
  <c r="E94" i="52" l="1"/>
  <c r="E95" i="52" l="1"/>
  <c r="E96" i="52" l="1"/>
  <c r="E97" i="52" l="1"/>
  <c r="E98" i="52" l="1"/>
  <c r="E99" i="52" l="1"/>
  <c r="E100" i="52" l="1"/>
  <c r="E101" i="52" l="1"/>
  <c r="E102" i="52" l="1"/>
  <c r="E103" i="52" l="1"/>
  <c r="E104" i="52" l="1"/>
  <c r="E105" i="52" l="1"/>
  <c r="E106" i="52" l="1"/>
  <c r="E107" i="52" l="1"/>
  <c r="E108" i="52" l="1"/>
  <c r="E109" i="52" l="1"/>
  <c r="E110" i="52" l="1"/>
  <c r="E111" i="52" l="1"/>
  <c r="E112" i="52" l="1"/>
  <c r="E113" i="52" l="1"/>
  <c r="E114" i="52" l="1"/>
  <c r="E116" i="52" l="1"/>
  <c r="E115" i="52"/>
  <c r="E117" i="52" l="1"/>
  <c r="E118" i="52" l="1"/>
  <c r="E119" i="52" l="1"/>
  <c r="E120" i="52" l="1"/>
  <c r="E121" i="52" s="1"/>
  <c r="E122" i="52" s="1"/>
  <c r="E124" i="52" s="1"/>
  <c r="E125" i="52" s="1"/>
  <c r="E126" i="52" s="1"/>
  <c r="E127" i="52" s="1"/>
  <c r="E128" i="52" s="1"/>
  <c r="E129" i="52" s="1"/>
  <c r="E130" i="52" s="1"/>
  <c r="E131" i="52" s="1"/>
  <c r="E132" i="52" s="1"/>
  <c r="E133" i="52" s="1"/>
  <c r="E134" i="52" s="1"/>
  <c r="E135" i="52" s="1"/>
  <c r="E136" i="52" s="1"/>
  <c r="E137" i="52" s="1"/>
  <c r="E138" i="52" s="1"/>
  <c r="E139" i="52" s="1"/>
  <c r="E140" i="52" s="1"/>
  <c r="E141" i="52" s="1"/>
  <c r="E142" i="52" s="1"/>
  <c r="E143" i="52" s="1"/>
  <c r="E144" i="52" s="1"/>
  <c r="E145" i="52" s="1"/>
  <c r="E146" i="52" s="1"/>
  <c r="E147" i="52" s="1"/>
  <c r="E148" i="52" s="1"/>
  <c r="E149" i="52" s="1"/>
  <c r="E150" i="52" s="1"/>
  <c r="E151" i="52" s="1"/>
  <c r="E152" i="52" s="1"/>
  <c r="E153" i="52" s="1"/>
  <c r="C35" i="13"/>
  <c r="C39" i="13" s="1"/>
  <c r="O43" i="13"/>
  <c r="E29" i="13"/>
  <c r="E30" i="13" s="1"/>
  <c r="O45" i="13" l="1"/>
  <c r="L52" i="13"/>
  <c r="Q56" i="82" s="1"/>
  <c r="O46" i="13"/>
  <c r="I52" i="13"/>
  <c r="L46" i="13"/>
  <c r="D56" i="81"/>
  <c r="C43" i="13"/>
  <c r="L45" i="13"/>
  <c r="E31" i="13"/>
  <c r="D54" i="82" l="1"/>
  <c r="Q55" i="82"/>
  <c r="D58" i="82"/>
  <c r="D56" i="82"/>
  <c r="E32" i="13"/>
  <c r="E33" i="13" l="1"/>
  <c r="E34" i="13" l="1"/>
  <c r="E35" i="13" s="1"/>
  <c r="L48" i="13" l="1"/>
  <c r="D58" i="76" s="1"/>
  <c r="O48" i="13"/>
  <c r="I53" i="13"/>
  <c r="Q56" i="76" s="1"/>
  <c r="O53" i="13"/>
  <c r="E36" i="13"/>
  <c r="D54" i="76" l="1"/>
  <c r="O47" i="13"/>
  <c r="L53" i="13"/>
  <c r="L47" i="13"/>
  <c r="D56" i="76" s="1"/>
  <c r="E37" i="13"/>
  <c r="Q55" i="76" l="1"/>
  <c r="O50" i="13"/>
  <c r="I54" i="13"/>
  <c r="Q56" i="63" s="1"/>
  <c r="L50" i="13"/>
  <c r="E38" i="13"/>
  <c r="D58" i="63" l="1"/>
  <c r="L49" i="13"/>
  <c r="D56" i="63" s="1"/>
  <c r="L54" i="13"/>
  <c r="O49" i="13"/>
  <c r="E39" i="13"/>
  <c r="O51" i="13" s="1"/>
  <c r="D54" i="63" l="1"/>
  <c r="Q55" i="63"/>
  <c r="E40" i="13"/>
  <c r="O52" i="13" s="1"/>
  <c r="E41" i="13" l="1"/>
  <c r="O54" i="13" l="1"/>
  <c r="E43" i="13"/>
  <c r="I55" i="13" s="1"/>
  <c r="Q54" i="81" s="1"/>
  <c r="E42" i="13"/>
  <c r="I59" i="13" l="1"/>
  <c r="E44" i="13"/>
  <c r="L55" i="13" s="1"/>
  <c r="D60" i="81" l="1"/>
  <c r="Q52" i="81"/>
  <c r="L59" i="13"/>
  <c r="Q51" i="81" s="1"/>
  <c r="I67" i="13"/>
  <c r="E45" i="13"/>
  <c r="I60" i="13" l="1"/>
  <c r="I56" i="13"/>
  <c r="L67" i="13"/>
  <c r="E46" i="13"/>
  <c r="L60" i="13" l="1"/>
  <c r="D63" i="82" s="1"/>
  <c r="L56" i="13"/>
  <c r="D63" i="81"/>
  <c r="Q50" i="81"/>
  <c r="E47" i="13"/>
  <c r="Q51" i="82" l="1"/>
  <c r="D60" i="82"/>
  <c r="Q52" i="82"/>
  <c r="Q50" i="82"/>
  <c r="Q54" i="82"/>
  <c r="I61" i="13"/>
  <c r="I57" i="13"/>
  <c r="Q54" i="76" s="1"/>
  <c r="E48" i="13"/>
  <c r="D63" i="76" l="1"/>
  <c r="L61" i="13"/>
  <c r="Q51" i="76" s="1"/>
  <c r="L57" i="13"/>
  <c r="E49" i="13"/>
  <c r="Q50" i="76" l="1"/>
  <c r="Q52" i="76"/>
  <c r="D60" i="76"/>
  <c r="I62" i="13"/>
  <c r="Q50" i="63" s="1"/>
  <c r="I58" i="13"/>
  <c r="Q52" i="63" s="1"/>
  <c r="E50" i="13"/>
  <c r="D60" i="63" l="1"/>
  <c r="E51" i="13"/>
  <c r="I72" i="13"/>
  <c r="L62" i="13"/>
  <c r="D63" i="63" s="1"/>
  <c r="I68" i="13"/>
  <c r="L58" i="13"/>
  <c r="Q54" i="63" s="1"/>
  <c r="Q51" i="63" l="1"/>
  <c r="E52" i="13"/>
  <c r="O55" i="13"/>
  <c r="L72" i="13"/>
  <c r="L68" i="13"/>
  <c r="E53" i="13" l="1"/>
  <c r="O56" i="13"/>
  <c r="I69" i="13"/>
  <c r="I73" i="13"/>
  <c r="E54" i="13" l="1"/>
  <c r="O57" i="13"/>
  <c r="L73" i="13"/>
  <c r="L69" i="13"/>
  <c r="E55" i="13" l="1"/>
  <c r="O58" i="13"/>
  <c r="I77" i="13"/>
  <c r="E56" i="13" l="1"/>
  <c r="O59" i="13"/>
  <c r="L77" i="13"/>
  <c r="E57" i="13" l="1"/>
  <c r="O60" i="13"/>
  <c r="E58" i="13" l="1"/>
  <c r="O61" i="13"/>
  <c r="E59" i="13" l="1"/>
  <c r="O62" i="13"/>
  <c r="I75" i="13"/>
  <c r="I71" i="13"/>
  <c r="E60" i="13" l="1"/>
  <c r="L71" i="13"/>
  <c r="L75" i="13"/>
  <c r="O77" i="13" l="1"/>
  <c r="I70" i="13"/>
  <c r="I74" i="13"/>
  <c r="E61" i="13"/>
  <c r="L70" i="13" l="1"/>
  <c r="L74" i="13"/>
  <c r="O76" i="13"/>
  <c r="E62" i="13"/>
  <c r="E63" i="13" l="1"/>
  <c r="E64" i="13" l="1"/>
  <c r="E67" i="13" l="1"/>
  <c r="O70" i="13" s="1"/>
  <c r="E68" i="13" l="1"/>
  <c r="O72" i="13" s="1"/>
  <c r="E69" i="13" l="1"/>
  <c r="O73" i="13" s="1"/>
  <c r="E70" i="13" l="1"/>
  <c r="E71" i="13" l="1"/>
  <c r="O75" i="13" l="1"/>
  <c r="O74" i="13"/>
  <c r="E72" i="13"/>
  <c r="E73" i="13" l="1"/>
  <c r="E74" i="13" l="1"/>
  <c r="E75" i="13" l="1"/>
  <c r="E76" i="13" l="1"/>
  <c r="E77" i="13" l="1"/>
  <c r="E78" i="13" l="1"/>
  <c r="E79" i="13" l="1"/>
  <c r="E80" i="13" l="1"/>
  <c r="E81" i="13" l="1"/>
  <c r="E82" i="13" l="1"/>
  <c r="E83" i="13" l="1"/>
  <c r="E84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</authors>
  <commentList>
    <comment ref="A1" authorId="0" shapeId="0" xr:uid="{00000000-0006-0000-0000-000001000000}">
      <text>
        <r>
          <rPr>
            <sz val="8"/>
            <color indexed="81"/>
            <rFont val="Tahoma"/>
            <family val="2"/>
          </rPr>
          <t>Meisterschaft</t>
        </r>
      </text>
    </comment>
    <comment ref="L1" authorId="0" shapeId="0" xr:uid="{00000000-0006-0000-0000-000002000000}">
      <text>
        <r>
          <rPr>
            <sz val="8"/>
            <color indexed="81"/>
            <rFont val="Tahoma"/>
            <family val="2"/>
          </rPr>
          <t>Jahr</t>
        </r>
      </text>
    </comment>
    <comment ref="N3" authorId="0" shapeId="0" xr:uid="{00000000-0006-0000-0000-000003000000}">
      <text>
        <r>
          <rPr>
            <sz val="8"/>
            <color indexed="81"/>
            <rFont val="Tahoma"/>
            <family val="2"/>
          </rPr>
          <t>Bitte in P4 die Anfangszeit für Samstag eintragen. In N14 die für Samstag Nachmittag.</t>
        </r>
      </text>
    </comment>
    <comment ref="O3" authorId="0" shapeId="0" xr:uid="{00000000-0006-0000-0000-000004000000}">
      <text>
        <r>
          <rPr>
            <sz val="8"/>
            <color indexed="81"/>
            <rFont val="Tahoma"/>
            <family val="2"/>
          </rPr>
          <t>In O5 die Spielzeit incl. Pause eingeben</t>
        </r>
      </text>
    </comment>
    <comment ref="P3" authorId="0" shapeId="0" xr:uid="{00000000-0006-0000-0000-000005000000}">
      <text>
        <r>
          <rPr>
            <sz val="8"/>
            <color indexed="81"/>
            <rFont val="Tahoma"/>
            <family val="2"/>
          </rPr>
          <t>Bitte in P4 die Anfangszeit für Sonntag eintragen. In P9 die für die Endrunde (1-6)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Axel Nowark</author>
  </authors>
  <commentList>
    <comment ref="Y5" authorId="0" shapeId="0" xr:uid="{00000000-0006-0000-0100-000001000000}">
      <text>
        <r>
          <rPr>
            <sz val="8"/>
            <color indexed="81"/>
            <rFont val="Tahoma"/>
            <family val="2"/>
          </rPr>
          <t>In X6, 8, 10, 12, 14, 24, 26, 28, 30, 32 jeweils ein Leerzeichen eingeben, damit die Bälle/Punkte angezeigt werden.
In X5, 7, 9, 11, 13, 23, 25, 27, 29, 31 jeweils ein Leerzeichen eingeben, damit die Platzierung angezeigt wird, jedoch erst wenn alle einmal gespielt haben</t>
        </r>
      </text>
    </comment>
    <comment ref="N41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zum Anzeigen 
der Spielpaarungen
in N42 - N62 Leerzeichen eingeben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Axel Nowark</author>
  </authors>
  <commentList>
    <comment ref="Y5" authorId="0" shapeId="0" xr:uid="{00000000-0006-0000-0200-000001000000}">
      <text>
        <r>
          <rPr>
            <sz val="8"/>
            <color indexed="81"/>
            <rFont val="Tahoma"/>
            <family val="2"/>
          </rPr>
          <t>In X6, 8, 10, 12, 14, 24, 26, 28, 30, 32 jeweils ein Leerzeichen eingeben, damit die Bälle/Punkte angezeigt werden.
In X5, 7, 9, 11, 13, 23, 25, 27, 29, 31 jeweils ein Leerzeichen eingeben, damit die Platzierung angezeigt wird, jedoch erst wenn alle einmal gespielt haben</t>
        </r>
      </text>
    </comment>
    <comment ref="N41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zum Anzeigen 
der Spielpaarungen
in N42 - N62 Leerzeichen eingeben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Axel Nowark</author>
  </authors>
  <commentList>
    <comment ref="Y5" authorId="0" shapeId="0" xr:uid="{00000000-0006-0000-0300-000001000000}">
      <text>
        <r>
          <rPr>
            <sz val="8"/>
            <color indexed="81"/>
            <rFont val="Tahoma"/>
            <family val="2"/>
          </rPr>
          <t>In X6, 8, 10, 12, 14, 24, 26, 28, 30, 32 jeweils ein Leerzeichen eingeben, damit die Bälle/Punkte angezeigt werden.
In X5, 7, 9, 11, 13, 23, 25, 27, 29, 31 jeweils ein Leerzeichen eingeben, damit die Platzierung angezeigt wird, jedoch erst wenn alle einmal gespielt haben</t>
        </r>
      </text>
    </comment>
    <comment ref="N41" authorId="1" shapeId="0" xr:uid="{00000000-0006-0000-0300-000002000000}">
      <text>
        <r>
          <rPr>
            <b/>
            <sz val="8"/>
            <color indexed="81"/>
            <rFont val="Tahoma"/>
            <family val="2"/>
          </rPr>
          <t xml:space="preserve">zum Anzeigen 
der Spielpaarungen
in N42 - N62 Leerzeichen eingeben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Axel Nowark</author>
  </authors>
  <commentList>
    <comment ref="Y5" authorId="0" shapeId="0" xr:uid="{00000000-0006-0000-0400-000001000000}">
      <text>
        <r>
          <rPr>
            <sz val="8"/>
            <color indexed="81"/>
            <rFont val="Tahoma"/>
            <family val="2"/>
          </rPr>
          <t>In X6, 8, 10, 12, 14, 24, 26, 28, 30, 32 jeweils ein Leerzeichen eingeben, damit die Bälle/Punkte angezeigt werden.
In X5, 7, 9, 11, 13, 23, 25, 27, 29, 31 jeweils ein Leerzeichen eingeben, damit die Platzierung angezeigt wird, jedoch erst wenn alle einmal gespielt haben</t>
        </r>
      </text>
    </comment>
    <comment ref="N41" authorId="1" shapeId="0" xr:uid="{00000000-0006-0000-0400-000002000000}">
      <text>
        <r>
          <rPr>
            <b/>
            <sz val="8"/>
            <color indexed="81"/>
            <rFont val="Tahoma"/>
            <family val="2"/>
          </rPr>
          <t xml:space="preserve">zum Anzeigen 
der Spielpaarungen
in N42 - N62 Leerzeichen eingeben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<sst xmlns="http://schemas.openxmlformats.org/spreadsheetml/2006/main" count="3031" uniqueCount="416">
  <si>
    <t>Zeit</t>
  </si>
  <si>
    <t>Gruppe C</t>
  </si>
  <si>
    <t>Gruppe D</t>
  </si>
  <si>
    <t>Gruppe E</t>
  </si>
  <si>
    <t>Gruppe F</t>
  </si>
  <si>
    <t>Gruppe G</t>
  </si>
  <si>
    <t>Gruppe A</t>
  </si>
  <si>
    <t>Gruppe B</t>
  </si>
  <si>
    <t>Bitte Felder mit roten Punkten beachten, nur die Maus auf Feld stellen, Notiz wird angezeigt</t>
  </si>
  <si>
    <t>M30</t>
  </si>
  <si>
    <t>F30</t>
  </si>
  <si>
    <t>M50</t>
  </si>
  <si>
    <t>Bälle/Punkte</t>
  </si>
  <si>
    <t>Platz</t>
  </si>
  <si>
    <t>Punkte</t>
  </si>
  <si>
    <t>:</t>
  </si>
  <si>
    <t>-</t>
  </si>
  <si>
    <t xml:space="preserve"> </t>
  </si>
  <si>
    <t>E-Spiele</t>
  </si>
  <si>
    <t>Tabelle</t>
  </si>
  <si>
    <t>Vorkreuzspiele</t>
  </si>
  <si>
    <t>c</t>
  </si>
  <si>
    <t>d</t>
  </si>
  <si>
    <t>Kreuzspiele</t>
  </si>
  <si>
    <t>e</t>
  </si>
  <si>
    <t>f</t>
  </si>
  <si>
    <t>Endspiel</t>
  </si>
  <si>
    <t>Vorrunde</t>
  </si>
  <si>
    <t>a</t>
  </si>
  <si>
    <t>b</t>
  </si>
  <si>
    <t>Dg.</t>
  </si>
  <si>
    <t>Nr.</t>
  </si>
  <si>
    <t>Feld</t>
  </si>
  <si>
    <t>Mannschaft</t>
  </si>
  <si>
    <t>L / A</t>
  </si>
  <si>
    <t>HZ</t>
  </si>
  <si>
    <t>Ergebnis</t>
  </si>
  <si>
    <t>_ _ _/_ _ _</t>
  </si>
  <si>
    <t>m5</t>
  </si>
  <si>
    <t>m3</t>
  </si>
  <si>
    <t>Neben</t>
  </si>
  <si>
    <t>Samstag</t>
  </si>
  <si>
    <t>Sonntag</t>
  </si>
  <si>
    <t>VK1</t>
  </si>
  <si>
    <t>VK2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</si>
  <si>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</si>
  <si>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</si>
  <si>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</si>
  <si>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</si>
  <si>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</si>
  <si>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</si>
  <si>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</si>
  <si>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</si>
  <si>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</si>
  <si>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</si>
  <si>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</si>
  <si>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</si>
  <si>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</si>
  <si>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</si>
  <si>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</si>
  <si>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</si>
  <si>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</si>
  <si>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</si>
  <si>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</si>
  <si>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</si>
  <si>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</si>
  <si>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</si>
  <si>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</si>
  <si>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</si>
  <si>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</si>
  <si>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</si>
  <si>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</si>
  <si>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</si>
  <si>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</si>
  <si>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</si>
  <si>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</si>
  <si>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</si>
  <si>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</si>
  <si>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</si>
  <si>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</si>
  <si>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</si>
  <si>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</si>
  <si>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</si>
  <si>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</si>
  <si>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</si>
  <si>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</si>
  <si>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Halle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</si>
  <si>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</si>
  <si>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</si>
  <si>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</si>
  <si>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</si>
  <si>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</si>
  <si>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</si>
  <si>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</si>
  <si>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</si>
  <si>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</si>
  <si>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</si>
  <si>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</si>
  <si>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</si>
  <si>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</si>
  <si>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</si>
  <si>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</si>
  <si>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</si>
  <si>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</si>
  <si>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</si>
  <si>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</si>
  <si>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</si>
  <si>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</si>
  <si>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</si>
  <si>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</si>
  <si>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</si>
  <si>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m30pl9</t>
  </si>
  <si>
    <t>m30pl7</t>
  </si>
  <si>
    <t>M30Pl9</t>
  </si>
  <si>
    <t>M30Pl7</t>
  </si>
  <si>
    <t>Freitag</t>
  </si>
  <si>
    <t>Gruppe H</t>
  </si>
  <si>
    <t>Platz 7</t>
  </si>
  <si>
    <t>Platz 9</t>
  </si>
  <si>
    <t>Kreuz</t>
  </si>
  <si>
    <t>weibl. Jgd. 13-15</t>
  </si>
  <si>
    <t>männl. Jgd. 13-15</t>
  </si>
  <si>
    <t>w 13-15 1e</t>
  </si>
  <si>
    <t>w 13-15 2e</t>
  </si>
  <si>
    <t>w 13-15 3e</t>
  </si>
  <si>
    <t>w 13-15 4e</t>
  </si>
  <si>
    <t>w 13-15 1f</t>
  </si>
  <si>
    <t>w 13-15 2f</t>
  </si>
  <si>
    <t>w 13-15 3f</t>
  </si>
  <si>
    <t>w 13-15 4f</t>
  </si>
  <si>
    <t>m 13-15 1g</t>
  </si>
  <si>
    <t>m 13-15 2g</t>
  </si>
  <si>
    <t>m 13-15 3g</t>
  </si>
  <si>
    <t>m 13-15 4g</t>
  </si>
  <si>
    <t>m 13-15 1h</t>
  </si>
  <si>
    <t>m 13-15 2h</t>
  </si>
  <si>
    <t>m 13-15 3h</t>
  </si>
  <si>
    <t>m 13-15 4h</t>
  </si>
  <si>
    <t>Deutschlandpokal der Jugend</t>
  </si>
  <si>
    <t>m11</t>
  </si>
  <si>
    <t>w11</t>
  </si>
  <si>
    <t>w13</t>
  </si>
  <si>
    <t>m13</t>
  </si>
  <si>
    <t>K1</t>
  </si>
  <si>
    <t>K2</t>
  </si>
  <si>
    <t>Vorkreuz</t>
  </si>
  <si>
    <t>w11K1</t>
  </si>
  <si>
    <t>w11K2</t>
  </si>
  <si>
    <t>m11K1</t>
  </si>
  <si>
    <t>m11K2</t>
  </si>
  <si>
    <t>BTSV</t>
  </si>
  <si>
    <t>Bayrischer Turnspielverband</t>
  </si>
  <si>
    <t>STB</t>
  </si>
  <si>
    <t>Schwäbischer Turnerbund</t>
  </si>
  <si>
    <t>Saarländischer Turnerbund</t>
  </si>
  <si>
    <t>Pfälzer Turnerbund</t>
  </si>
  <si>
    <t>PTB</t>
  </si>
  <si>
    <t>BTB</t>
  </si>
  <si>
    <t>Badischer Turnerbund</t>
  </si>
  <si>
    <t>HTV</t>
  </si>
  <si>
    <t>Hessischer Turnverband</t>
  </si>
  <si>
    <t>NTB</t>
  </si>
  <si>
    <t>WTB</t>
  </si>
  <si>
    <t>SHTV</t>
  </si>
  <si>
    <t>RTB</t>
  </si>
  <si>
    <t>Niedersächsischer Turner-Bund</t>
  </si>
  <si>
    <t>Westfälischer Turnerbund</t>
  </si>
  <si>
    <t>Schleswig-Holsteinischer Turnverband</t>
  </si>
  <si>
    <t>Berliner Turn- und Freizeitsport-Bund</t>
  </si>
  <si>
    <t>Rheinischer Turnerbund</t>
  </si>
  <si>
    <t>TVM</t>
  </si>
  <si>
    <t>Turnverband Mittelrhein</t>
  </si>
  <si>
    <t>Bremer Turnverband</t>
  </si>
  <si>
    <t>BTV</t>
  </si>
  <si>
    <t>weibl. Jgd. 11-14</t>
  </si>
  <si>
    <t>männl. Jgd. 11-14</t>
  </si>
  <si>
    <t>weibl. Jgd. 15-18</t>
  </si>
  <si>
    <t>männl. Jgd. 15-18</t>
  </si>
  <si>
    <t>m15</t>
  </si>
  <si>
    <t>w15</t>
  </si>
  <si>
    <t>m11VK1</t>
  </si>
  <si>
    <t>m11VK2</t>
  </si>
  <si>
    <t>PK1</t>
  </si>
  <si>
    <t>PK2</t>
  </si>
  <si>
    <t>PK3</t>
  </si>
  <si>
    <t>m15VK1</t>
  </si>
  <si>
    <t>m15VK2</t>
  </si>
  <si>
    <t>m15K1</t>
  </si>
  <si>
    <t>m15K2</t>
  </si>
  <si>
    <t>Landesturnverbände</t>
  </si>
  <si>
    <t>Mannschaften</t>
  </si>
  <si>
    <t>Summe</t>
  </si>
  <si>
    <t>ges</t>
  </si>
  <si>
    <t>Badischer Turner-Bund</t>
  </si>
  <si>
    <t>O</t>
  </si>
  <si>
    <t>S</t>
  </si>
  <si>
    <t>Hessischer Turnerbund</t>
  </si>
  <si>
    <t>Rheinhessischer Turnerbund</t>
  </si>
  <si>
    <t>Dream Team</t>
  </si>
  <si>
    <t>vorne rechts</t>
  </si>
  <si>
    <t>Mitte</t>
  </si>
  <si>
    <t>Schlag</t>
  </si>
  <si>
    <t>vorne links</t>
  </si>
  <si>
    <t>w11-14</t>
  </si>
  <si>
    <t>m11-14</t>
  </si>
  <si>
    <t>w15-18</t>
  </si>
  <si>
    <t>Bayerischer Turnspiel-Verband</t>
  </si>
  <si>
    <t>m15-18</t>
  </si>
  <si>
    <t>Sächsischer Turnverband</t>
  </si>
  <si>
    <t>Platzierungsspiele 7-9</t>
  </si>
  <si>
    <t>Platzierungsspiele 5-6</t>
  </si>
  <si>
    <t>Platzierungsspiel 3-4</t>
  </si>
  <si>
    <t>Platz 5</t>
  </si>
  <si>
    <t>Platz 3</t>
  </si>
  <si>
    <t>SC</t>
  </si>
  <si>
    <t>Vivien Mahler</t>
  </si>
  <si>
    <t>Jessica Besser</t>
  </si>
  <si>
    <t>Tabea Kluba</t>
  </si>
  <si>
    <t>Michelle Thöni</t>
  </si>
  <si>
    <t>Leonard Fernholz</t>
  </si>
  <si>
    <t>Kilian Dausmann</t>
  </si>
  <si>
    <t>Julian Teschner</t>
  </si>
  <si>
    <t>Tim Adamy</t>
  </si>
  <si>
    <t>Michelle Resch</t>
  </si>
  <si>
    <t>Sina Bremer</t>
  </si>
  <si>
    <t>Anja Maucher</t>
  </si>
  <si>
    <t>Juliane Meyer</t>
  </si>
  <si>
    <t>weibliche Jugend 11-14</t>
  </si>
  <si>
    <t>männliche Jugend 11-14</t>
  </si>
  <si>
    <t>weibliche Jugend 15-18</t>
  </si>
  <si>
    <t>männliche Jugend 15-18</t>
  </si>
  <si>
    <t>Florian Besser</t>
  </si>
  <si>
    <t>Niklas Honisch</t>
  </si>
  <si>
    <t>Felix Schmidt</t>
  </si>
  <si>
    <t>Dustin Kalthoff</t>
  </si>
  <si>
    <t>Platz 7-9</t>
  </si>
  <si>
    <t>m15PK1</t>
  </si>
  <si>
    <t>m15PK2</t>
  </si>
  <si>
    <t>w15K1</t>
  </si>
  <si>
    <t>w15K2</t>
  </si>
  <si>
    <t>P5</t>
  </si>
  <si>
    <t>P3</t>
  </si>
  <si>
    <t>P1</t>
  </si>
  <si>
    <t>w. Jgd. 11-14</t>
  </si>
  <si>
    <t>m. Jgd. 11-14</t>
  </si>
  <si>
    <t>Dream-Team</t>
  </si>
  <si>
    <t>w. Jgd. 15-18</t>
  </si>
  <si>
    <t>m. Jgd. 15-18</t>
  </si>
  <si>
    <t>Nina Mörch</t>
  </si>
  <si>
    <t>Annika Köthe</t>
  </si>
  <si>
    <t>Alina Schlesiger</t>
  </si>
  <si>
    <t>Lean Cichozs</t>
  </si>
  <si>
    <t>Marcel Montag</t>
  </si>
  <si>
    <t>Sofian Faic</t>
  </si>
  <si>
    <t>Tom-David Käfer</t>
  </si>
  <si>
    <t>Jessica Bockfeld</t>
  </si>
  <si>
    <t>Melina Husen</t>
  </si>
  <si>
    <t>Laura Ennenmoser</t>
  </si>
  <si>
    <t>Marco Becker</t>
  </si>
  <si>
    <t>Alexander Volnhals</t>
  </si>
  <si>
    <t>Jan Möller</t>
  </si>
  <si>
    <t>Nadine Bensig</t>
  </si>
  <si>
    <t>Katharina Rann</t>
  </si>
  <si>
    <t>Michelle Husen</t>
  </si>
  <si>
    <t>Laura Ehlert</t>
  </si>
  <si>
    <t>Simon Leder</t>
  </si>
  <si>
    <t>Justus Hake</t>
  </si>
  <si>
    <t>Florian Borkwsky</t>
  </si>
  <si>
    <t>Oskar Schwarz</t>
  </si>
  <si>
    <t>STV</t>
  </si>
  <si>
    <t>Sina Dentler</t>
  </si>
  <si>
    <t>Maren Lindel</t>
  </si>
  <si>
    <t>Tim Lipps</t>
  </si>
  <si>
    <t>Michael Soutter</t>
  </si>
  <si>
    <t>Fynn Knoop</t>
  </si>
  <si>
    <t>Platzierungsspiele 7-8</t>
  </si>
  <si>
    <t>w15PK1</t>
  </si>
  <si>
    <t>w15PK2</t>
  </si>
  <si>
    <t>Platz 7-8</t>
  </si>
  <si>
    <t>w15VK1</t>
  </si>
  <si>
    <t>w15VK2</t>
  </si>
  <si>
    <t>m15PK3</t>
  </si>
  <si>
    <t>E-Spiel</t>
  </si>
  <si>
    <t>Annalena Teschner</t>
  </si>
  <si>
    <t>Melanie Seitz</t>
  </si>
  <si>
    <t>Leonie Wolf</t>
  </si>
  <si>
    <t>Lotta Klose</t>
  </si>
  <si>
    <t>Florian Eckesfeld</t>
  </si>
  <si>
    <t>Marc Bob</t>
  </si>
  <si>
    <t>Ben Schrestha</t>
  </si>
  <si>
    <t>Joschua Schlesiga</t>
  </si>
  <si>
    <t>Jenny Rothfischer</t>
  </si>
  <si>
    <t>Anatolie Schmidt</t>
  </si>
  <si>
    <t>Nico Voss</t>
  </si>
  <si>
    <t>DP der Jugend 2018</t>
  </si>
  <si>
    <t>09.06.2018</t>
  </si>
  <si>
    <t>10.06.2018</t>
  </si>
  <si>
    <t>Meinerzhagen</t>
  </si>
  <si>
    <t>35.</t>
  </si>
  <si>
    <t>P7</t>
  </si>
  <si>
    <t>w11PK1</t>
  </si>
  <si>
    <t>w11PK2</t>
  </si>
  <si>
    <t>Schul- und Sportzentzum Rothenstein, 58540 Meinerzhagen</t>
  </si>
  <si>
    <t>s1</t>
  </si>
  <si>
    <t>S13</t>
  </si>
  <si>
    <t>m11PK1</t>
  </si>
  <si>
    <t>m11PK2</t>
  </si>
  <si>
    <t>w11PK3</t>
  </si>
  <si>
    <t>m11PK3</t>
  </si>
  <si>
    <t>w11VK1</t>
  </si>
  <si>
    <t>w11VK2</t>
  </si>
  <si>
    <t>w11P5</t>
  </si>
  <si>
    <t>m11P5</t>
  </si>
  <si>
    <t>w11P3</t>
  </si>
  <si>
    <t>w11P1</t>
  </si>
  <si>
    <t>m11P3</t>
  </si>
  <si>
    <t>m11P1</t>
  </si>
  <si>
    <t>m15P5</t>
  </si>
  <si>
    <t>w15P5</t>
  </si>
  <si>
    <t>m15P3</t>
  </si>
  <si>
    <t>w15P3</t>
  </si>
  <si>
    <t>w15P1</t>
  </si>
  <si>
    <t>m15P1</t>
  </si>
  <si>
    <t>Westfalen</t>
  </si>
  <si>
    <t>Baden</t>
  </si>
  <si>
    <t>Niedersachsen</t>
  </si>
  <si>
    <t>Pfalz</t>
  </si>
  <si>
    <t>Rheinland</t>
  </si>
  <si>
    <t>Bremen</t>
  </si>
  <si>
    <t>Berlin</t>
  </si>
  <si>
    <t>Schwaben</t>
  </si>
  <si>
    <t>Hessen</t>
  </si>
  <si>
    <t>Sachsen</t>
  </si>
  <si>
    <t>24:11</t>
  </si>
  <si>
    <t>27:7</t>
  </si>
  <si>
    <t>19:17</t>
  </si>
  <si>
    <t>22:9</t>
  </si>
  <si>
    <t>23:14</t>
  </si>
  <si>
    <t>27:8</t>
  </si>
  <si>
    <t>19:8</t>
  </si>
  <si>
    <t>18:9</t>
  </si>
  <si>
    <t>19:9</t>
  </si>
  <si>
    <t>21:11</t>
  </si>
  <si>
    <t>12:26</t>
  </si>
  <si>
    <t>19:13</t>
  </si>
  <si>
    <t>16:16</t>
  </si>
  <si>
    <t>15:17</t>
  </si>
  <si>
    <t>13:18</t>
  </si>
  <si>
    <t>15:22</t>
  </si>
  <si>
    <t>20:11</t>
  </si>
  <si>
    <t>12:23</t>
  </si>
  <si>
    <t>16:13</t>
  </si>
  <si>
    <t>18:13</t>
  </si>
  <si>
    <t>13:15</t>
  </si>
  <si>
    <t>14:19</t>
  </si>
  <si>
    <t>25:12</t>
  </si>
  <si>
    <t>19:12</t>
  </si>
  <si>
    <t>5:28</t>
  </si>
  <si>
    <t>19:11</t>
  </si>
  <si>
    <t>21:10</t>
  </si>
  <si>
    <t>14:12</t>
  </si>
  <si>
    <t>25:7</t>
  </si>
  <si>
    <t>17:12</t>
  </si>
  <si>
    <t>9:19</t>
  </si>
  <si>
    <t>16:14</t>
  </si>
  <si>
    <t>Platz 1</t>
  </si>
  <si>
    <t>9:22</t>
  </si>
  <si>
    <t>17:18</t>
  </si>
  <si>
    <t>23:9</t>
  </si>
  <si>
    <t>20:18</t>
  </si>
  <si>
    <t>20:10</t>
  </si>
  <si>
    <t>18:12</t>
  </si>
  <si>
    <t>18:16</t>
  </si>
  <si>
    <t>13:17</t>
  </si>
  <si>
    <t>17:19</t>
  </si>
  <si>
    <t>15:23</t>
  </si>
  <si>
    <t>7:22</t>
  </si>
  <si>
    <t>17:14</t>
  </si>
  <si>
    <t>17:17</t>
  </si>
  <si>
    <t>15:12</t>
  </si>
  <si>
    <t>16:12</t>
  </si>
  <si>
    <t>12:19</t>
  </si>
  <si>
    <t>11:19</t>
  </si>
  <si>
    <t>14:20</t>
  </si>
  <si>
    <t>15:19</t>
  </si>
  <si>
    <t>14:24</t>
  </si>
  <si>
    <t>26:9</t>
  </si>
  <si>
    <t>20:13</t>
  </si>
  <si>
    <t>12:15</t>
  </si>
  <si>
    <t>17:15</t>
  </si>
  <si>
    <t>18:15</t>
  </si>
  <si>
    <t>17:13</t>
  </si>
  <si>
    <t>19:18</t>
  </si>
  <si>
    <t>20:15</t>
  </si>
  <si>
    <t>12:17</t>
  </si>
  <si>
    <t>12:18</t>
  </si>
  <si>
    <t>14:18</t>
  </si>
  <si>
    <t>15:18</t>
  </si>
  <si>
    <t>20:12</t>
  </si>
  <si>
    <t>22:7</t>
  </si>
  <si>
    <t>19:10</t>
  </si>
  <si>
    <t>14:16</t>
  </si>
  <si>
    <t>22:11</t>
  </si>
  <si>
    <t>11:14</t>
  </si>
  <si>
    <t>19:16</t>
  </si>
  <si>
    <t>Josey Lehmann</t>
  </si>
  <si>
    <t>Juliane Lühr</t>
  </si>
  <si>
    <t>Kai Götsche</t>
  </si>
  <si>
    <t>Dominik Heuss</t>
  </si>
  <si>
    <t>Johannes Mahnchen</t>
  </si>
  <si>
    <t>Michaeles Mahnchen</t>
  </si>
  <si>
    <t>Michelle Brandt</t>
  </si>
  <si>
    <t>Michelle Thönie</t>
  </si>
  <si>
    <t>Julian Täschner</t>
  </si>
  <si>
    <t>Moritz Weimar</t>
  </si>
  <si>
    <t>Tobias Röhnböck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</si>
</sst>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"/>
    <numFmt numFmtId="165" formatCode="00"/>
    <numFmt numFmtId="166" formatCode="0.00000"/>
  </numFmts>
  <fonts count="48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System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10"/>
      <name val="Times New Roman"/>
      <family val="1"/>
    </font>
    <font>
      <sz val="10"/>
      <name val="Futura Lt BT"/>
      <family val="2"/>
    </font>
    <font>
      <sz val="8"/>
      <name val="Futura Lt BT"/>
      <family val="2"/>
    </font>
    <font>
      <sz val="6"/>
      <name val="Futura Lt BT"/>
      <family val="2"/>
    </font>
    <font>
      <sz val="10"/>
      <name val="Futura Md BT"/>
      <family val="2"/>
    </font>
    <font>
      <sz val="14"/>
      <name val="Futura Md BT"/>
      <family val="2"/>
    </font>
    <font>
      <sz val="8"/>
      <color indexed="13"/>
      <name val="Times New Roman"/>
      <family val="1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9"/>
      <name val="Futura Lt BT"/>
      <family val="2"/>
    </font>
    <font>
      <sz val="12"/>
      <name val="Futura Lt BT"/>
      <family val="2"/>
    </font>
    <font>
      <sz val="14"/>
      <name val="Futura Lt BT"/>
      <family val="2"/>
    </font>
    <font>
      <sz val="5"/>
      <name val="Futura Lt BT"/>
      <family val="2"/>
    </font>
    <font>
      <sz val="10"/>
      <color indexed="9"/>
      <name val="Futura Lt BT"/>
      <family val="2"/>
    </font>
    <font>
      <sz val="7"/>
      <name val="Futura Lt BT"/>
      <family val="2"/>
    </font>
    <font>
      <sz val="12"/>
      <color indexed="9"/>
      <name val="Futura Lt BT"/>
      <family val="2"/>
    </font>
    <font>
      <sz val="12"/>
      <name val="Futura Md BT"/>
      <family val="2"/>
    </font>
    <font>
      <b/>
      <sz val="14"/>
      <name val="Futura Lt BT"/>
      <family val="2"/>
    </font>
    <font>
      <sz val="16"/>
      <name val="Arial"/>
      <family val="2"/>
    </font>
    <font>
      <sz val="16"/>
      <name val="Arial Black"/>
      <family val="2"/>
    </font>
    <font>
      <sz val="10"/>
      <name val="Arial Black"/>
      <family val="2"/>
    </font>
    <font>
      <b/>
      <sz val="20"/>
      <name val="Arial"/>
      <family val="2"/>
    </font>
    <font>
      <b/>
      <sz val="26"/>
      <name val="Arial Black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color theme="0"/>
      <name val="Futura Lt BT"/>
      <family val="2"/>
    </font>
    <font>
      <sz val="10"/>
      <color theme="0"/>
      <name val="Futura Lt BT"/>
      <family val="2"/>
    </font>
    <font>
      <sz val="14"/>
      <color theme="0"/>
      <name val="Futura Lt BT"/>
      <family val="2"/>
    </font>
    <font>
      <sz val="6"/>
      <color theme="0"/>
      <name val="Futura Lt BT"/>
      <family val="2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10"/>
      <color theme="0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82">
    <xf numFmtId="0" fontId="0" fillId="0" borderId="0" xfId="0"/>
    <xf numFmtId="0" fontId="5" fillId="0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9" fillId="0" borderId="3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applyFont="1" applyAlignment="1">
      <alignment horizontal="centerContinuous"/>
    </xf>
    <xf numFmtId="0" fontId="9" fillId="0" borderId="15" xfId="0" applyFont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/>
    <xf numFmtId="0" fontId="12" fillId="0" borderId="0" xfId="0" applyFont="1"/>
    <xf numFmtId="0" fontId="6" fillId="3" borderId="0" xfId="0" applyFont="1" applyFill="1"/>
    <xf numFmtId="0" fontId="5" fillId="3" borderId="0" xfId="0" applyFont="1" applyFill="1"/>
    <xf numFmtId="0" fontId="6" fillId="3" borderId="0" xfId="0" applyFont="1" applyFill="1" applyAlignment="1">
      <alignment horizontal="centerContinuous"/>
    </xf>
    <xf numFmtId="20" fontId="5" fillId="3" borderId="0" xfId="0" applyNumberFormat="1" applyFont="1" applyFill="1"/>
    <xf numFmtId="0" fontId="6" fillId="3" borderId="0" xfId="2" applyFont="1" applyFill="1"/>
    <xf numFmtId="0" fontId="5" fillId="3" borderId="0" xfId="0" applyNumberFormat="1" applyFont="1" applyFill="1"/>
    <xf numFmtId="0" fontId="4" fillId="3" borderId="0" xfId="0" applyFont="1" applyFill="1"/>
    <xf numFmtId="0" fontId="5" fillId="0" borderId="0" xfId="0" applyFont="1" applyFill="1" applyProtection="1">
      <protection locked="0"/>
    </xf>
    <xf numFmtId="14" fontId="5" fillId="0" borderId="0" xfId="0" quotePrefix="1" applyNumberFormat="1" applyFont="1" applyFill="1" applyProtection="1">
      <protection locked="0"/>
    </xf>
    <xf numFmtId="0" fontId="5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20" fontId="5" fillId="0" borderId="0" xfId="0" applyNumberFormat="1" applyFont="1" applyProtection="1">
      <protection locked="0"/>
    </xf>
    <xf numFmtId="0" fontId="4" fillId="0" borderId="0" xfId="0" applyFont="1" applyFill="1" applyProtection="1">
      <protection locked="0"/>
    </xf>
    <xf numFmtId="0" fontId="6" fillId="0" borderId="0" xfId="2" applyFont="1" applyFill="1" applyProtection="1">
      <protection locked="0"/>
    </xf>
    <xf numFmtId="0" fontId="6" fillId="3" borderId="0" xfId="0" applyFont="1" applyFill="1" applyAlignment="1"/>
    <xf numFmtId="0" fontId="5" fillId="3" borderId="0" xfId="0" applyFont="1" applyFill="1" applyAlignment="1"/>
    <xf numFmtId="0" fontId="14" fillId="0" borderId="0" xfId="0" applyNumberFormat="1" applyFont="1" applyFill="1" applyProtection="1">
      <protection locked="0"/>
    </xf>
    <xf numFmtId="0" fontId="6" fillId="3" borderId="0" xfId="0" applyFont="1" applyFill="1" applyProtection="1">
      <protection locked="0"/>
    </xf>
    <xf numFmtId="0" fontId="15" fillId="0" borderId="0" xfId="0" applyFont="1"/>
    <xf numFmtId="0" fontId="16" fillId="0" borderId="0" xfId="0" applyFont="1"/>
    <xf numFmtId="0" fontId="17" fillId="0" borderId="0" xfId="0" applyFont="1" applyBorder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7" fillId="0" borderId="0" xfId="0" applyFont="1"/>
    <xf numFmtId="0" fontId="16" fillId="0" borderId="3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 applyAlignment="1">
      <alignment horizontal="left"/>
    </xf>
    <xf numFmtId="0" fontId="5" fillId="3" borderId="0" xfId="0" applyFont="1" applyFill="1" applyAlignment="1">
      <alignment horizontal="center"/>
    </xf>
    <xf numFmtId="0" fontId="20" fillId="3" borderId="0" xfId="0" applyFont="1" applyFill="1" applyAlignment="1" applyProtection="1">
      <alignment horizontal="right"/>
      <protection locked="0"/>
    </xf>
    <xf numFmtId="0" fontId="6" fillId="3" borderId="0" xfId="0" applyFont="1" applyFill="1" applyAlignment="1" applyProtection="1">
      <alignment horizontal="right"/>
      <protection locked="0"/>
    </xf>
    <xf numFmtId="0" fontId="15" fillId="0" borderId="0" xfId="0" applyFont="1" applyAlignment="1">
      <alignment horizontal="left"/>
    </xf>
    <xf numFmtId="0" fontId="7" fillId="0" borderId="0" xfId="0" applyFont="1"/>
    <xf numFmtId="0" fontId="16" fillId="0" borderId="1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5" fillId="4" borderId="0" xfId="0" applyFont="1" applyFill="1"/>
    <xf numFmtId="0" fontId="16" fillId="0" borderId="0" xfId="0" applyFont="1" applyFill="1" applyBorder="1"/>
    <xf numFmtId="0" fontId="0" fillId="4" borderId="0" xfId="0" applyFill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/>
    <xf numFmtId="0" fontId="15" fillId="0" borderId="3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16" fillId="0" borderId="0" xfId="0" applyFont="1" applyBorder="1" applyAlignment="1">
      <alignment horizontal="center" vertical="center"/>
    </xf>
    <xf numFmtId="0" fontId="9" fillId="0" borderId="0" xfId="0" applyFont="1" applyFill="1"/>
    <xf numFmtId="0" fontId="9" fillId="0" borderId="0" xfId="2" applyFont="1" applyFill="1" applyProtection="1">
      <protection locked="0"/>
    </xf>
    <xf numFmtId="20" fontId="5" fillId="4" borderId="0" xfId="0" applyNumberFormat="1" applyFont="1" applyFill="1"/>
    <xf numFmtId="0" fontId="6" fillId="4" borderId="0" xfId="0" applyFont="1" applyFill="1" applyProtection="1"/>
    <xf numFmtId="0" fontId="6" fillId="4" borderId="0" xfId="0" applyFont="1" applyFill="1"/>
    <xf numFmtId="0" fontId="9" fillId="4" borderId="0" xfId="0" applyFont="1" applyFill="1"/>
    <xf numFmtId="0" fontId="6" fillId="4" borderId="0" xfId="0" applyFont="1" applyFill="1" applyAlignment="1"/>
    <xf numFmtId="0" fontId="15" fillId="0" borderId="0" xfId="0" applyFont="1" applyAlignment="1">
      <alignment horizontal="centerContinuous"/>
    </xf>
    <xf numFmtId="0" fontId="25" fillId="0" borderId="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Fill="1" applyBorder="1" applyAlignment="1">
      <alignment horizontal="centerContinuous" vertical="center"/>
    </xf>
    <xf numFmtId="0" fontId="15" fillId="0" borderId="0" xfId="0" applyFont="1" applyFill="1" applyBorder="1" applyAlignment="1">
      <alignment horizontal="centerContinuous" vertical="center"/>
    </xf>
    <xf numFmtId="0" fontId="15" fillId="0" borderId="9" xfId="0" applyFont="1" applyFill="1" applyBorder="1" applyAlignment="1"/>
    <xf numFmtId="0" fontId="15" fillId="0" borderId="10" xfId="0" applyFont="1" applyFill="1" applyBorder="1" applyAlignment="1"/>
    <xf numFmtId="0" fontId="15" fillId="0" borderId="9" xfId="0" applyFont="1" applyBorder="1" applyAlignment="1">
      <alignment horizontal="center" vertical="top" wrapText="1"/>
    </xf>
    <xf numFmtId="0" fontId="26" fillId="0" borderId="15" xfId="0" applyFont="1" applyBorder="1" applyAlignment="1">
      <alignment horizontal="center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/>
    <xf numFmtId="0" fontId="26" fillId="0" borderId="15" xfId="0" applyFont="1" applyFill="1" applyBorder="1" applyAlignment="1">
      <alignment horizontal="center"/>
    </xf>
    <xf numFmtId="0" fontId="15" fillId="0" borderId="10" xfId="0" applyFont="1" applyFill="1" applyBorder="1"/>
    <xf numFmtId="0" fontId="15" fillId="0" borderId="9" xfId="0" applyFont="1" applyFill="1" applyBorder="1"/>
    <xf numFmtId="0" fontId="17" fillId="0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5" fillId="0" borderId="10" xfId="0" applyFont="1" applyBorder="1"/>
    <xf numFmtId="0" fontId="16" fillId="0" borderId="1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/>
    <xf numFmtId="0" fontId="15" fillId="2" borderId="4" xfId="0" applyFont="1" applyFill="1" applyBorder="1"/>
    <xf numFmtId="0" fontId="15" fillId="2" borderId="1" xfId="0" applyFont="1" applyFill="1" applyBorder="1"/>
    <xf numFmtId="0" fontId="15" fillId="2" borderId="5" xfId="0" applyFont="1" applyFill="1" applyBorder="1"/>
    <xf numFmtId="0" fontId="15" fillId="0" borderId="4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/>
    </xf>
    <xf numFmtId="165" fontId="16" fillId="0" borderId="4" xfId="0" applyNumberFormat="1" applyFont="1" applyBorder="1" applyAlignment="1">
      <alignment horizontal="center"/>
    </xf>
    <xf numFmtId="165" fontId="16" fillId="0" borderId="5" xfId="0" applyNumberFormat="1" applyFont="1" applyBorder="1" applyAlignment="1">
      <alignment horizontal="center"/>
    </xf>
    <xf numFmtId="0" fontId="15" fillId="0" borderId="18" xfId="0" applyFont="1" applyBorder="1"/>
    <xf numFmtId="0" fontId="27" fillId="0" borderId="0" xfId="0" applyFont="1"/>
    <xf numFmtId="0" fontId="15" fillId="0" borderId="0" xfId="0" applyNumberFormat="1" applyFont="1"/>
    <xf numFmtId="165" fontId="15" fillId="0" borderId="0" xfId="0" applyNumberFormat="1" applyFont="1"/>
    <xf numFmtId="0" fontId="15" fillId="0" borderId="20" xfId="0" applyFont="1" applyFill="1" applyBorder="1" applyAlignment="1">
      <alignment horizontal="center"/>
    </xf>
    <xf numFmtId="0" fontId="15" fillId="2" borderId="6" xfId="0" applyFont="1" applyFill="1" applyBorder="1"/>
    <xf numFmtId="0" fontId="15" fillId="2" borderId="3" xfId="0" applyFont="1" applyFill="1" applyBorder="1"/>
    <xf numFmtId="0" fontId="15" fillId="2" borderId="7" xfId="0" applyFont="1" applyFill="1" applyBorder="1"/>
    <xf numFmtId="0" fontId="16" fillId="0" borderId="6" xfId="0" applyFont="1" applyBorder="1"/>
    <xf numFmtId="0" fontId="16" fillId="0" borderId="7" xfId="0" applyFont="1" applyBorder="1" applyAlignment="1">
      <alignment horizontal="left"/>
    </xf>
    <xf numFmtId="0" fontId="15" fillId="0" borderId="8" xfId="0" applyFont="1" applyBorder="1"/>
    <xf numFmtId="166" fontId="17" fillId="0" borderId="0" xfId="0" applyNumberFormat="1" applyFont="1"/>
    <xf numFmtId="0" fontId="15" fillId="0" borderId="2" xfId="0" applyFont="1" applyBorder="1"/>
    <xf numFmtId="0" fontId="15" fillId="0" borderId="6" xfId="0" applyFont="1" applyFill="1" applyBorder="1" applyAlignment="1">
      <alignment horizontal="center"/>
    </xf>
    <xf numFmtId="0" fontId="15" fillId="0" borderId="3" xfId="0" applyFont="1" applyBorder="1" applyAlignment="1"/>
    <xf numFmtId="0" fontId="15" fillId="0" borderId="1" xfId="0" applyFont="1" applyBorder="1" applyAlignment="1">
      <alignment vertical="top"/>
    </xf>
    <xf numFmtId="0" fontId="16" fillId="0" borderId="1" xfId="0" applyFont="1" applyBorder="1"/>
    <xf numFmtId="0" fontId="16" fillId="0" borderId="1" xfId="0" applyFont="1" applyBorder="1" applyAlignment="1">
      <alignment horizontal="left"/>
    </xf>
    <xf numFmtId="0" fontId="15" fillId="0" borderId="1" xfId="0" applyFont="1" applyFill="1" applyBorder="1"/>
    <xf numFmtId="0" fontId="15" fillId="0" borderId="1" xfId="0" applyFont="1" applyBorder="1"/>
    <xf numFmtId="0" fontId="28" fillId="0" borderId="0" xfId="0" applyFont="1" applyBorder="1" applyAlignment="1">
      <alignment vertical="top"/>
    </xf>
    <xf numFmtId="0" fontId="28" fillId="0" borderId="11" xfId="0" applyFont="1" applyBorder="1" applyAlignment="1">
      <alignment horizontal="right" vertical="top"/>
    </xf>
    <xf numFmtId="0" fontId="28" fillId="2" borderId="12" xfId="0" applyFont="1" applyFill="1" applyBorder="1"/>
    <xf numFmtId="0" fontId="28" fillId="0" borderId="14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left"/>
    </xf>
    <xf numFmtId="0" fontId="28" fillId="0" borderId="12" xfId="0" applyFont="1" applyBorder="1"/>
    <xf numFmtId="0" fontId="28" fillId="0" borderId="14" xfId="0" applyFont="1" applyBorder="1" applyAlignment="1">
      <alignment horizontal="center"/>
    </xf>
    <xf numFmtId="0" fontId="28" fillId="0" borderId="13" xfId="0" applyFont="1" applyBorder="1" applyAlignment="1">
      <alignment horizontal="left"/>
    </xf>
    <xf numFmtId="0" fontId="28" fillId="0" borderId="12" xfId="0" applyFont="1" applyFill="1" applyBorder="1"/>
    <xf numFmtId="0" fontId="28" fillId="0" borderId="13" xfId="0" applyFont="1" applyFill="1" applyBorder="1" applyAlignment="1">
      <alignment horizontal="left"/>
    </xf>
    <xf numFmtId="0" fontId="15" fillId="0" borderId="0" xfId="0" applyFont="1" applyBorder="1" applyAlignment="1">
      <alignment vertical="top"/>
    </xf>
    <xf numFmtId="0" fontId="28" fillId="0" borderId="14" xfId="0" applyFont="1" applyFill="1" applyBorder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Continuous" vertical="center"/>
    </xf>
    <xf numFmtId="0" fontId="15" fillId="0" borderId="20" xfId="0" applyFont="1" applyBorder="1" applyAlignment="1">
      <alignment horizontal="center" vertical="top"/>
    </xf>
    <xf numFmtId="0" fontId="15" fillId="0" borderId="0" xfId="0" applyFont="1" applyAlignment="1">
      <alignment vertical="top"/>
    </xf>
    <xf numFmtId="0" fontId="15" fillId="0" borderId="6" xfId="0" applyFont="1" applyBorder="1" applyAlignment="1">
      <alignment horizontal="center" vertical="top"/>
    </xf>
    <xf numFmtId="0" fontId="15" fillId="0" borderId="3" xfId="0" applyFont="1" applyBorder="1" applyAlignment="1">
      <alignment vertical="top"/>
    </xf>
    <xf numFmtId="0" fontId="28" fillId="0" borderId="1" xfId="0" applyFont="1" applyBorder="1" applyAlignment="1"/>
    <xf numFmtId="0" fontId="28" fillId="0" borderId="12" xfId="0" applyFont="1" applyFill="1" applyBorder="1" applyAlignment="1">
      <alignment horizontal="right"/>
    </xf>
    <xf numFmtId="0" fontId="28" fillId="0" borderId="12" xfId="0" applyFont="1" applyBorder="1" applyAlignment="1">
      <alignment horizontal="right"/>
    </xf>
    <xf numFmtId="0" fontId="17" fillId="0" borderId="16" xfId="0" applyFont="1" applyBorder="1" applyAlignment="1">
      <alignment vertical="top" wrapText="1"/>
    </xf>
    <xf numFmtId="0" fontId="15" fillId="0" borderId="9" xfId="0" applyFont="1" applyBorder="1" applyAlignment="1">
      <alignment vertical="center"/>
    </xf>
    <xf numFmtId="0" fontId="41" fillId="0" borderId="15" xfId="0" applyFont="1" applyFill="1" applyBorder="1"/>
    <xf numFmtId="0" fontId="41" fillId="0" borderId="15" xfId="0" applyFont="1" applyFill="1" applyBorder="1" applyAlignment="1">
      <alignment horizontal="center"/>
    </xf>
    <xf numFmtId="0" fontId="41" fillId="0" borderId="10" xfId="0" applyFont="1" applyFill="1" applyBorder="1"/>
    <xf numFmtId="0" fontId="15" fillId="0" borderId="9" xfId="0" applyNumberFormat="1" applyFont="1" applyBorder="1" applyAlignment="1">
      <alignment horizontal="right" vertical="center"/>
    </xf>
    <xf numFmtId="0" fontId="15" fillId="0" borderId="1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7" fillId="0" borderId="0" xfId="0" applyFont="1" applyFill="1" applyBorder="1"/>
    <xf numFmtId="0" fontId="27" fillId="0" borderId="0" xfId="0" applyFont="1" applyBorder="1"/>
    <xf numFmtId="0" fontId="41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23" fillId="0" borderId="0" xfId="0" applyFont="1"/>
    <xf numFmtId="0" fontId="41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Continuous"/>
    </xf>
    <xf numFmtId="0" fontId="15" fillId="0" borderId="15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0" xfId="0" applyFont="1" applyFill="1" applyBorder="1"/>
    <xf numFmtId="0" fontId="41" fillId="0" borderId="15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15" xfId="0" applyFont="1" applyFill="1" applyBorder="1"/>
    <xf numFmtId="0" fontId="15" fillId="0" borderId="1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16" xfId="0" applyFont="1" applyBorder="1" applyAlignment="1">
      <alignment wrapText="1"/>
    </xf>
    <xf numFmtId="0" fontId="29" fillId="0" borderId="18" xfId="0" applyFont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29" fillId="0" borderId="8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15" xfId="0" applyFont="1" applyBorder="1" applyAlignment="1">
      <alignment horizontal="center"/>
    </xf>
    <xf numFmtId="0" fontId="15" fillId="0" borderId="15" xfId="0" applyFont="1" applyBorder="1"/>
    <xf numFmtId="0" fontId="18" fillId="0" borderId="0" xfId="0" applyFont="1" applyFill="1" applyBorder="1"/>
    <xf numFmtId="0" fontId="18" fillId="0" borderId="0" xfId="0" applyFont="1" applyFill="1" applyBorder="1" applyAlignment="1"/>
    <xf numFmtId="0" fontId="18" fillId="0" borderId="0" xfId="0" applyFont="1" applyBorder="1" applyAlignment="1"/>
    <xf numFmtId="0" fontId="30" fillId="0" borderId="16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/>
    </xf>
    <xf numFmtId="0" fontId="41" fillId="0" borderId="9" xfId="0" applyFont="1" applyBorder="1" applyAlignment="1">
      <alignment vertical="center"/>
    </xf>
    <xf numFmtId="0" fontId="15" fillId="0" borderId="0" xfId="0" applyNumberFormat="1" applyFont="1" applyBorder="1" applyAlignment="1">
      <alignment horizontal="right" vertical="center"/>
    </xf>
    <xf numFmtId="0" fontId="15" fillId="0" borderId="0" xfId="0" applyNumberFormat="1" applyFont="1" applyBorder="1" applyAlignment="1">
      <alignment horizontal="left" vertical="center"/>
    </xf>
    <xf numFmtId="0" fontId="24" fillId="0" borderId="0" xfId="0" applyFont="1"/>
    <xf numFmtId="0" fontId="31" fillId="0" borderId="0" xfId="0" applyFont="1" applyAlignment="1">
      <alignment horizontal="centerContinuous"/>
    </xf>
    <xf numFmtId="0" fontId="15" fillId="0" borderId="7" xfId="0" applyFont="1" applyBorder="1" applyAlignment="1"/>
    <xf numFmtId="0" fontId="15" fillId="0" borderId="0" xfId="0" applyFont="1" applyAlignment="1">
      <alignment horizontal="right"/>
    </xf>
    <xf numFmtId="0" fontId="17" fillId="0" borderId="0" xfId="0" applyFont="1" applyBorder="1" applyAlignment="1">
      <alignment vertical="top" wrapText="1"/>
    </xf>
    <xf numFmtId="0" fontId="15" fillId="0" borderId="3" xfId="0" applyFont="1" applyFill="1" applyBorder="1" applyAlignment="1">
      <alignment vertical="center"/>
    </xf>
    <xf numFmtId="0" fontId="19" fillId="0" borderId="0" xfId="0" applyFont="1" applyAlignment="1">
      <alignment horizontal="centerContinuous" vertical="top"/>
    </xf>
    <xf numFmtId="0" fontId="15" fillId="0" borderId="4" xfId="0" applyFont="1" applyBorder="1"/>
    <xf numFmtId="0" fontId="15" fillId="0" borderId="5" xfId="0" applyFont="1" applyBorder="1"/>
    <xf numFmtId="0" fontId="15" fillId="5" borderId="4" xfId="0" applyFont="1" applyFill="1" applyBorder="1"/>
    <xf numFmtId="0" fontId="15" fillId="5" borderId="5" xfId="0" applyFont="1" applyFill="1" applyBorder="1"/>
    <xf numFmtId="0" fontId="15" fillId="0" borderId="6" xfId="0" applyFont="1" applyBorder="1"/>
    <xf numFmtId="0" fontId="15" fillId="0" borderId="7" xfId="0" applyFont="1" applyBorder="1"/>
    <xf numFmtId="0" fontId="16" fillId="5" borderId="6" xfId="0" applyFont="1" applyFill="1" applyBorder="1"/>
    <xf numFmtId="0" fontId="16" fillId="5" borderId="3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left"/>
    </xf>
    <xf numFmtId="166" fontId="17" fillId="0" borderId="8" xfId="0" applyNumberFormat="1" applyFont="1" applyBorder="1"/>
    <xf numFmtId="0" fontId="43" fillId="0" borderId="16" xfId="0" applyFont="1" applyBorder="1" applyAlignment="1">
      <alignment vertical="top" wrapText="1"/>
    </xf>
    <xf numFmtId="0" fontId="1" fillId="0" borderId="0" xfId="1" applyFont="1"/>
    <xf numFmtId="0" fontId="11" fillId="0" borderId="0" xfId="1" applyFont="1"/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32" fillId="0" borderId="0" xfId="1" applyFont="1"/>
    <xf numFmtId="0" fontId="12" fillId="0" borderId="0" xfId="1" applyFont="1"/>
    <xf numFmtId="0" fontId="1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2" fillId="0" borderId="16" xfId="1" applyFont="1" applyBorder="1" applyAlignment="1">
      <alignment horizontal="center"/>
    </xf>
    <xf numFmtId="0" fontId="34" fillId="0" borderId="0" xfId="1" applyFont="1"/>
    <xf numFmtId="0" fontId="8" fillId="0" borderId="0" xfId="1" applyFont="1"/>
    <xf numFmtId="0" fontId="12" fillId="0" borderId="0" xfId="2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2" fillId="0" borderId="0" xfId="0" applyFont="1" applyFill="1" applyBorder="1"/>
    <xf numFmtId="0" fontId="12" fillId="0" borderId="0" xfId="2" applyFont="1" applyFill="1" applyBorder="1" applyProtection="1">
      <protection locked="0"/>
    </xf>
    <xf numFmtId="0" fontId="12" fillId="0" borderId="0" xfId="0" applyFont="1" applyAlignment="1">
      <alignment vertical="center"/>
    </xf>
    <xf numFmtId="0" fontId="21" fillId="0" borderId="0" xfId="0" applyFont="1"/>
    <xf numFmtId="0" fontId="36" fillId="0" borderId="0" xfId="1" applyFont="1" applyAlignment="1">
      <alignment vertical="top"/>
    </xf>
    <xf numFmtId="0" fontId="36" fillId="0" borderId="0" xfId="0" applyFont="1"/>
    <xf numFmtId="0" fontId="10" fillId="0" borderId="0" xfId="0" applyFont="1"/>
    <xf numFmtId="0" fontId="12" fillId="0" borderId="0" xfId="2" applyFont="1" applyFill="1" applyBorder="1" applyAlignment="1" applyProtection="1">
      <protection locked="0"/>
    </xf>
    <xf numFmtId="0" fontId="9" fillId="0" borderId="0" xfId="0" applyFont="1" applyBorder="1" applyAlignment="1"/>
    <xf numFmtId="0" fontId="12" fillId="0" borderId="0" xfId="0" applyFont="1" applyFill="1" applyBorder="1" applyAlignment="1"/>
    <xf numFmtId="0" fontId="9" fillId="0" borderId="0" xfId="0" applyFont="1" applyAlignment="1"/>
    <xf numFmtId="0" fontId="1" fillId="0" borderId="0" xfId="0" applyFont="1" applyAlignment="1"/>
    <xf numFmtId="0" fontId="12" fillId="0" borderId="0" xfId="2" applyFont="1" applyFill="1" applyAlignment="1" applyProtection="1">
      <protection locked="0"/>
    </xf>
    <xf numFmtId="0" fontId="9" fillId="0" borderId="3" xfId="0" applyFont="1" applyBorder="1"/>
    <xf numFmtId="0" fontId="11" fillId="0" borderId="0" xfId="0" applyFont="1"/>
    <xf numFmtId="0" fontId="11" fillId="0" borderId="0" xfId="0" applyFont="1" applyAlignment="1">
      <alignment horizontal="centerContinuous"/>
    </xf>
    <xf numFmtId="49" fontId="11" fillId="0" borderId="0" xfId="0" applyNumberFormat="1" applyFont="1" applyAlignment="1">
      <alignment horizontal="centerContinuous"/>
    </xf>
    <xf numFmtId="0" fontId="1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49" fontId="1" fillId="0" borderId="0" xfId="0" applyNumberFormat="1" applyFont="1"/>
    <xf numFmtId="49" fontId="9" fillId="0" borderId="0" xfId="0" applyNumberFormat="1" applyFont="1"/>
    <xf numFmtId="0" fontId="9" fillId="0" borderId="0" xfId="0" applyFont="1" applyAlignment="1">
      <alignment horizontal="left"/>
    </xf>
    <xf numFmtId="0" fontId="44" fillId="0" borderId="0" xfId="0" applyFont="1"/>
    <xf numFmtId="0" fontId="38" fillId="0" borderId="19" xfId="3" applyFont="1" applyBorder="1" applyAlignment="1">
      <alignment horizontal="center"/>
    </xf>
    <xf numFmtId="49" fontId="38" fillId="0" borderId="19" xfId="3" applyNumberFormat="1" applyFont="1" applyBorder="1" applyAlignment="1">
      <alignment horizontal="center"/>
    </xf>
    <xf numFmtId="0" fontId="38" fillId="0" borderId="19" xfId="3" applyFont="1" applyBorder="1" applyAlignment="1">
      <alignment horizontal="left"/>
    </xf>
    <xf numFmtId="0" fontId="7" fillId="0" borderId="0" xfId="0" applyFont="1" applyFill="1"/>
    <xf numFmtId="20" fontId="9" fillId="0" borderId="0" xfId="0" applyNumberFormat="1" applyFont="1"/>
    <xf numFmtId="0" fontId="9" fillId="0" borderId="0" xfId="3" applyFont="1" applyBorder="1"/>
    <xf numFmtId="0" fontId="9" fillId="0" borderId="0" xfId="0" applyFont="1" applyAlignment="1">
      <alignment horizontal="center"/>
    </xf>
    <xf numFmtId="49" fontId="9" fillId="0" borderId="21" xfId="0" applyNumberFormat="1" applyFont="1" applyBorder="1"/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/>
    <xf numFmtId="0" fontId="9" fillId="0" borderId="21" xfId="0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7" fillId="0" borderId="0" xfId="0" applyFont="1" applyFill="1" applyBorder="1"/>
    <xf numFmtId="49" fontId="9" fillId="0" borderId="0" xfId="0" applyNumberFormat="1" applyFont="1" applyBorder="1"/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44" fillId="0" borderId="3" xfId="0" applyFont="1" applyBorder="1"/>
    <xf numFmtId="0" fontId="7" fillId="0" borderId="3" xfId="0" applyFont="1" applyFill="1" applyBorder="1"/>
    <xf numFmtId="0" fontId="9" fillId="0" borderId="3" xfId="3" applyFont="1" applyBorder="1"/>
    <xf numFmtId="49" fontId="9" fillId="0" borderId="3" xfId="0" applyNumberFormat="1" applyFont="1" applyBorder="1"/>
    <xf numFmtId="0" fontId="9" fillId="0" borderId="3" xfId="0" applyFont="1" applyBorder="1" applyAlignment="1" applyProtection="1">
      <alignment horizontal="right"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/>
    <xf numFmtId="0" fontId="9" fillId="0" borderId="3" xfId="0" applyFont="1" applyBorder="1" applyAlignment="1">
      <alignment horizontal="left"/>
    </xf>
    <xf numFmtId="0" fontId="44" fillId="0" borderId="0" xfId="0" applyFont="1" applyBorder="1"/>
    <xf numFmtId="0" fontId="9" fillId="0" borderId="3" xfId="3" applyFont="1" applyFill="1" applyBorder="1"/>
    <xf numFmtId="49" fontId="9" fillId="0" borderId="3" xfId="0" applyNumberFormat="1" applyFont="1" applyFill="1" applyBorder="1"/>
    <xf numFmtId="0" fontId="9" fillId="0" borderId="0" xfId="3" applyFont="1" applyFill="1" applyBorder="1"/>
    <xf numFmtId="49" fontId="9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20" fontId="9" fillId="0" borderId="0" xfId="0" applyNumberFormat="1" applyFont="1" applyBorder="1"/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/>
    <xf numFmtId="20" fontId="9" fillId="0" borderId="3" xfId="0" applyNumberFormat="1" applyFont="1" applyBorder="1"/>
    <xf numFmtId="0" fontId="9" fillId="0" borderId="15" xfId="0" applyFont="1" applyBorder="1"/>
    <xf numFmtId="20" fontId="9" fillId="0" borderId="15" xfId="0" applyNumberFormat="1" applyFont="1" applyBorder="1"/>
    <xf numFmtId="0" fontId="7" fillId="0" borderId="15" xfId="0" applyFont="1" applyFill="1" applyBorder="1"/>
    <xf numFmtId="0" fontId="9" fillId="0" borderId="15" xfId="3" applyFont="1" applyFill="1" applyBorder="1"/>
    <xf numFmtId="49" fontId="9" fillId="0" borderId="15" xfId="0" applyNumberFormat="1" applyFont="1" applyBorder="1"/>
    <xf numFmtId="0" fontId="9" fillId="0" borderId="15" xfId="0" applyFont="1" applyBorder="1" applyAlignment="1" applyProtection="1">
      <alignment horizontal="right" vertical="center"/>
      <protection locked="0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/>
    <xf numFmtId="0" fontId="9" fillId="0" borderId="15" xfId="0" applyFont="1" applyBorder="1" applyAlignment="1">
      <alignment horizontal="left"/>
    </xf>
    <xf numFmtId="0" fontId="7" fillId="0" borderId="3" xfId="0" applyFont="1" applyBorder="1"/>
    <xf numFmtId="0" fontId="7" fillId="0" borderId="0" xfId="0" applyFont="1" applyAlignment="1">
      <alignment horizontal="centerContinuous"/>
    </xf>
    <xf numFmtId="0" fontId="39" fillId="0" borderId="0" xfId="3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Fill="1" applyBorder="1" applyAlignment="1"/>
    <xf numFmtId="0" fontId="12" fillId="0" borderId="0" xfId="2" applyFont="1" applyFill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0" fontId="12" fillId="0" borderId="0" xfId="2" applyFont="1" applyFill="1" applyProtection="1">
      <protection locked="0"/>
    </xf>
    <xf numFmtId="0" fontId="45" fillId="0" borderId="0" xfId="0" applyFont="1" applyFill="1" applyBorder="1"/>
    <xf numFmtId="0" fontId="45" fillId="0" borderId="0" xfId="0" applyFont="1" applyBorder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horizontal="center" vertical="center"/>
    </xf>
    <xf numFmtId="165" fontId="40" fillId="0" borderId="4" xfId="0" applyNumberFormat="1" applyFont="1" applyBorder="1" applyAlignment="1">
      <alignment horizontal="center"/>
    </xf>
    <xf numFmtId="0" fontId="40" fillId="0" borderId="6" xfId="0" applyFont="1" applyBorder="1"/>
    <xf numFmtId="165" fontId="40" fillId="0" borderId="5" xfId="0" applyNumberFormat="1" applyFont="1" applyBorder="1" applyAlignment="1">
      <alignment horizontal="center"/>
    </xf>
    <xf numFmtId="0" fontId="40" fillId="0" borderId="7" xfId="0" applyFont="1" applyBorder="1" applyAlignment="1">
      <alignment horizontal="left"/>
    </xf>
    <xf numFmtId="0" fontId="41" fillId="0" borderId="9" xfId="0" applyNumberFormat="1" applyFont="1" applyBorder="1" applyAlignment="1">
      <alignment horizontal="right" vertical="center"/>
    </xf>
    <xf numFmtId="0" fontId="40" fillId="0" borderId="15" xfId="0" applyFont="1" applyBorder="1" applyAlignment="1">
      <alignment horizontal="center" vertical="center"/>
    </xf>
    <xf numFmtId="0" fontId="41" fillId="0" borderId="10" xfId="0" applyNumberFormat="1" applyFont="1" applyBorder="1" applyAlignment="1">
      <alignment horizontal="left" vertical="center"/>
    </xf>
    <xf numFmtId="0" fontId="15" fillId="0" borderId="15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20" fontId="5" fillId="0" borderId="0" xfId="0" applyNumberFormat="1" applyFont="1" applyFill="1"/>
    <xf numFmtId="0" fontId="41" fillId="0" borderId="0" xfId="0" applyFont="1"/>
    <xf numFmtId="166" fontId="43" fillId="0" borderId="0" xfId="0" applyNumberFormat="1" applyFont="1"/>
    <xf numFmtId="0" fontId="12" fillId="0" borderId="23" xfId="1" applyFont="1" applyBorder="1"/>
    <xf numFmtId="0" fontId="12" fillId="6" borderId="24" xfId="1" applyFont="1" applyFill="1" applyBorder="1" applyAlignment="1">
      <alignment horizontal="center"/>
    </xf>
    <xf numFmtId="0" fontId="12" fillId="0" borderId="25" xfId="1" applyFont="1" applyBorder="1" applyAlignment="1">
      <alignment horizontal="center"/>
    </xf>
    <xf numFmtId="0" fontId="12" fillId="0" borderId="24" xfId="1" applyFont="1" applyFill="1" applyBorder="1" applyAlignment="1">
      <alignment horizontal="center"/>
    </xf>
    <xf numFmtId="0" fontId="12" fillId="0" borderId="29" xfId="1" applyFont="1" applyBorder="1"/>
    <xf numFmtId="0" fontId="7" fillId="0" borderId="26" xfId="1" applyFont="1" applyBorder="1"/>
    <xf numFmtId="0" fontId="7" fillId="0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0" xfId="1" applyFont="1"/>
    <xf numFmtId="0" fontId="7" fillId="0" borderId="27" xfId="1" applyFont="1" applyBorder="1"/>
    <xf numFmtId="0" fontId="7" fillId="0" borderId="30" xfId="1" applyFont="1" applyBorder="1"/>
    <xf numFmtId="0" fontId="12" fillId="0" borderId="9" xfId="1" applyFont="1" applyBorder="1" applyAlignment="1"/>
    <xf numFmtId="0" fontId="11" fillId="0" borderId="15" xfId="1" applyFont="1" applyBorder="1" applyAlignment="1">
      <alignment horizontal="center"/>
    </xf>
    <xf numFmtId="0" fontId="39" fillId="0" borderId="27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46" fillId="0" borderId="0" xfId="1" applyFont="1" applyAlignment="1">
      <alignment horizontal="center"/>
    </xf>
    <xf numFmtId="0" fontId="9" fillId="0" borderId="15" xfId="0" applyFont="1" applyFill="1" applyBorder="1"/>
    <xf numFmtId="0" fontId="9" fillId="5" borderId="0" xfId="0" applyFont="1" applyFill="1"/>
    <xf numFmtId="0" fontId="44" fillId="0" borderId="0" xfId="0" applyFont="1" applyFill="1" applyBorder="1"/>
    <xf numFmtId="0" fontId="9" fillId="0" borderId="15" xfId="3" applyFont="1" applyBorder="1"/>
    <xf numFmtId="164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164" fontId="21" fillId="0" borderId="0" xfId="0" applyNumberFormat="1" applyFont="1" applyAlignment="1">
      <alignment vertical="center"/>
    </xf>
    <xf numFmtId="14" fontId="21" fillId="0" borderId="0" xfId="0" applyNumberFormat="1" applyFont="1" applyAlignment="1">
      <alignment vertical="center"/>
    </xf>
    <xf numFmtId="0" fontId="47" fillId="0" borderId="0" xfId="0" applyFont="1" applyAlignment="1">
      <alignment vertical="center"/>
    </xf>
    <xf numFmtId="164" fontId="38" fillId="0" borderId="19" xfId="3" applyNumberFormat="1" applyFont="1" applyBorder="1" applyAlignment="1">
      <alignment horizontal="center"/>
    </xf>
    <xf numFmtId="164" fontId="9" fillId="0" borderId="0" xfId="0" applyNumberFormat="1" applyFont="1"/>
    <xf numFmtId="164" fontId="1" fillId="0" borderId="0" xfId="0" applyNumberFormat="1" applyFont="1"/>
    <xf numFmtId="164" fontId="9" fillId="0" borderId="0" xfId="0" applyNumberFormat="1" applyFont="1" applyBorder="1"/>
    <xf numFmtId="164" fontId="9" fillId="0" borderId="3" xfId="0" applyNumberFormat="1" applyFont="1" applyBorder="1"/>
    <xf numFmtId="0" fontId="9" fillId="0" borderId="3" xfId="0" applyFont="1" applyFill="1" applyBorder="1" applyAlignment="1" applyProtection="1">
      <alignment horizontal="right" vertical="center"/>
      <protection locked="0"/>
    </xf>
    <xf numFmtId="0" fontId="44" fillId="0" borderId="3" xfId="0" applyFont="1" applyFill="1" applyBorder="1"/>
    <xf numFmtId="14" fontId="1" fillId="0" borderId="0" xfId="0" applyNumberFormat="1" applyFont="1" applyBorder="1"/>
    <xf numFmtId="164" fontId="44" fillId="0" borderId="0" xfId="0" applyNumberFormat="1" applyFont="1" applyBorder="1"/>
    <xf numFmtId="0" fontId="44" fillId="0" borderId="22" xfId="0" applyFont="1" applyFill="1" applyBorder="1"/>
    <xf numFmtId="164" fontId="9" fillId="0" borderId="22" xfId="0" applyNumberFormat="1" applyFont="1" applyFill="1" applyBorder="1"/>
    <xf numFmtId="0" fontId="9" fillId="0" borderId="22" xfId="0" applyFont="1" applyFill="1" applyBorder="1"/>
    <xf numFmtId="0" fontId="9" fillId="0" borderId="22" xfId="0" applyFont="1" applyBorder="1"/>
    <xf numFmtId="0" fontId="7" fillId="0" borderId="22" xfId="0" applyFont="1" applyBorder="1"/>
    <xf numFmtId="0" fontId="9" fillId="0" borderId="22" xfId="3" applyFont="1" applyBorder="1"/>
    <xf numFmtId="0" fontId="9" fillId="0" borderId="22" xfId="0" applyFont="1" applyBorder="1" applyAlignment="1">
      <alignment horizontal="center"/>
    </xf>
    <xf numFmtId="0" fontId="9" fillId="0" borderId="22" xfId="3" applyFont="1" applyFill="1" applyBorder="1"/>
    <xf numFmtId="0" fontId="7" fillId="0" borderId="22" xfId="0" applyFont="1" applyFill="1" applyBorder="1"/>
    <xf numFmtId="49" fontId="9" fillId="0" borderId="22" xfId="0" applyNumberFormat="1" applyFont="1" applyBorder="1"/>
    <xf numFmtId="0" fontId="9" fillId="0" borderId="22" xfId="0" applyFont="1" applyBorder="1" applyAlignment="1" applyProtection="1">
      <alignment horizontal="right" vertical="center"/>
      <protection locked="0"/>
    </xf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/>
    <xf numFmtId="0" fontId="9" fillId="0" borderId="22" xfId="0" applyFont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164" fontId="9" fillId="0" borderId="15" xfId="0" applyNumberFormat="1" applyFont="1" applyBorder="1"/>
    <xf numFmtId="0" fontId="47" fillId="0" borderId="0" xfId="0" applyFont="1"/>
    <xf numFmtId="0" fontId="46" fillId="0" borderId="0" xfId="0" applyFont="1" applyBorder="1"/>
    <xf numFmtId="164" fontId="1" fillId="0" borderId="0" xfId="0" applyNumberFormat="1" applyFont="1" applyBorder="1"/>
    <xf numFmtId="49" fontId="1" fillId="0" borderId="0" xfId="0" applyNumberFormat="1" applyFont="1" applyBorder="1"/>
    <xf numFmtId="0" fontId="15" fillId="4" borderId="4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5" fillId="4" borderId="5" xfId="0" applyNumberFormat="1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33" fillId="0" borderId="0" xfId="1" applyFont="1" applyAlignment="1">
      <alignment horizontal="center" vertical="top"/>
    </xf>
    <xf numFmtId="0" fontId="1" fillId="0" borderId="0" xfId="1" applyFont="1" applyAlignment="1">
      <alignment horizontal="center"/>
    </xf>
    <xf numFmtId="0" fontId="9" fillId="0" borderId="31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36" fillId="0" borderId="0" xfId="1" applyFont="1" applyAlignment="1">
      <alignment horizontal="center" vertical="top"/>
    </xf>
    <xf numFmtId="0" fontId="35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Standard" xfId="0" builtinId="0"/>
    <cellStyle name="Standard 2" xfId="1" xr:uid="{00000000-0005-0000-0000-000001000000}"/>
    <cellStyle name="Standard_MANNSCHA" xfId="2" xr:uid="{00000000-0005-0000-0000-000002000000}"/>
    <cellStyle name="Standard_SEN-SA94" xfId="3" xr:uid="{00000000-0005-0000-0000-000003000000}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T107"/>
  <sheetViews>
    <sheetView zoomScaleNormal="100" workbookViewId="0">
      <selection activeCell="O18" sqref="O18"/>
    </sheetView>
  </sheetViews>
  <sheetFormatPr baseColWidth="10" defaultRowHeight="12.75"/>
  <cols>
    <col min="1" max="1" width="3.28515625" style="2" customWidth="1"/>
    <col min="2" max="2" width="4.28515625" style="2" customWidth="1"/>
    <col min="3" max="3" width="18.28515625" style="2" customWidth="1"/>
    <col min="4" max="4" width="2.7109375" style="2" customWidth="1"/>
    <col min="5" max="5" width="4.28515625" style="2" customWidth="1"/>
    <col min="6" max="6" width="18.28515625" style="2" customWidth="1"/>
    <col min="7" max="7" width="2.7109375" style="2" customWidth="1"/>
    <col min="8" max="8" width="4.28515625" style="2" customWidth="1"/>
    <col min="9" max="9" width="18.28515625" style="2" customWidth="1"/>
    <col min="10" max="10" width="2.7109375" style="2" customWidth="1"/>
    <col min="11" max="11" width="4.28515625" style="2" customWidth="1"/>
    <col min="12" max="12" width="18.28515625" style="2" customWidth="1"/>
    <col min="13" max="13" width="4.140625" style="2" customWidth="1"/>
    <col min="14" max="16" width="8.7109375" style="2" customWidth="1"/>
    <col min="17" max="16384" width="11.42578125" style="2"/>
  </cols>
  <sheetData>
    <row r="1" spans="1:20" ht="15.75">
      <c r="A1" s="28" t="s">
        <v>298</v>
      </c>
      <c r="B1" s="22" t="s">
        <v>138</v>
      </c>
      <c r="C1" s="17"/>
      <c r="D1" s="17"/>
      <c r="E1" s="17"/>
      <c r="F1" s="17"/>
      <c r="G1" s="17"/>
      <c r="H1" s="17"/>
      <c r="I1" s="17"/>
      <c r="J1" s="21"/>
      <c r="K1" s="17"/>
      <c r="L1" s="32">
        <v>2018</v>
      </c>
      <c r="M1" s="17"/>
      <c r="N1" s="17"/>
      <c r="O1" s="17"/>
      <c r="P1" s="17"/>
      <c r="Q1" s="17"/>
      <c r="R1" s="17"/>
      <c r="S1" s="17"/>
      <c r="T1" s="17"/>
    </row>
    <row r="2" spans="1:20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  <c r="N2" s="17" t="s">
        <v>41</v>
      </c>
      <c r="O2" s="17"/>
      <c r="P2" s="17" t="s">
        <v>42</v>
      </c>
      <c r="Q2" s="17"/>
      <c r="R2" s="17" t="s">
        <v>41</v>
      </c>
      <c r="S2" s="17" t="s">
        <v>115</v>
      </c>
      <c r="T2" s="17"/>
    </row>
    <row r="3" spans="1:20">
      <c r="A3" s="16"/>
      <c r="B3" s="16"/>
      <c r="C3" s="16" t="s">
        <v>174</v>
      </c>
      <c r="D3" s="16"/>
      <c r="E3" s="16"/>
      <c r="F3" s="16" t="s">
        <v>174</v>
      </c>
      <c r="G3" s="16"/>
      <c r="H3" s="16"/>
      <c r="I3" s="16" t="s">
        <v>175</v>
      </c>
      <c r="J3" s="16"/>
      <c r="K3" s="16"/>
      <c r="L3" s="16" t="s">
        <v>175</v>
      </c>
      <c r="M3" s="17"/>
      <c r="N3" s="17" t="s">
        <v>0</v>
      </c>
      <c r="O3" s="17"/>
      <c r="P3" s="17"/>
      <c r="Q3" s="17"/>
      <c r="R3" s="43" t="s">
        <v>40</v>
      </c>
      <c r="S3" s="17"/>
      <c r="T3" s="17"/>
    </row>
    <row r="4" spans="1:20">
      <c r="A4" s="16"/>
      <c r="B4" s="16"/>
      <c r="C4" s="16" t="s">
        <v>6</v>
      </c>
      <c r="D4" s="16"/>
      <c r="E4" s="16"/>
      <c r="F4" s="16" t="s">
        <v>7</v>
      </c>
      <c r="G4" s="16"/>
      <c r="H4" s="16"/>
      <c r="I4" s="16" t="s">
        <v>1</v>
      </c>
      <c r="J4" s="16"/>
      <c r="K4" s="16"/>
      <c r="L4" s="16" t="s">
        <v>2</v>
      </c>
      <c r="M4" s="17"/>
      <c r="N4" s="27">
        <v>0.375</v>
      </c>
      <c r="O4" s="17"/>
      <c r="P4" s="27">
        <v>0.375</v>
      </c>
      <c r="Q4" s="17"/>
      <c r="R4" s="19">
        <f>N4</f>
        <v>0.375</v>
      </c>
      <c r="S4" s="27">
        <v>0.6875</v>
      </c>
      <c r="T4" s="17"/>
    </row>
    <row r="5" spans="1:20">
      <c r="A5" s="16"/>
      <c r="B5" s="60"/>
      <c r="C5" s="61" t="s">
        <v>323</v>
      </c>
      <c r="D5" s="63"/>
      <c r="E5" s="60" t="s">
        <v>161</v>
      </c>
      <c r="F5" s="60" t="s">
        <v>328</v>
      </c>
      <c r="G5" s="63"/>
      <c r="H5" s="60"/>
      <c r="I5" s="61" t="s">
        <v>325</v>
      </c>
      <c r="J5" s="63"/>
      <c r="K5" s="60"/>
      <c r="L5" s="61" t="s">
        <v>330</v>
      </c>
      <c r="M5" s="17"/>
      <c r="N5" s="19">
        <f>+N4+O5</f>
        <v>0.3923611111111111</v>
      </c>
      <c r="O5" s="27">
        <v>1.7361111111111112E-2</v>
      </c>
      <c r="P5" s="19">
        <f>+P4+Q5</f>
        <v>0.3923611111111111</v>
      </c>
      <c r="Q5" s="27">
        <v>1.7361111111111112E-2</v>
      </c>
      <c r="R5" s="19">
        <f>N5</f>
        <v>0.3923611111111111</v>
      </c>
      <c r="S5" s="19">
        <f>+S4+T5</f>
        <v>0.70486111111111116</v>
      </c>
      <c r="T5" s="27">
        <v>1.7361111111111112E-2</v>
      </c>
    </row>
    <row r="6" spans="1:20">
      <c r="A6" s="16"/>
      <c r="B6" s="60"/>
      <c r="C6" s="61" t="s">
        <v>324</v>
      </c>
      <c r="D6" s="63"/>
      <c r="E6" s="60"/>
      <c r="F6" s="60" t="s">
        <v>329</v>
      </c>
      <c r="G6" s="63"/>
      <c r="H6" s="60"/>
      <c r="I6" s="61" t="s">
        <v>324</v>
      </c>
      <c r="J6" s="63"/>
      <c r="K6" s="60"/>
      <c r="L6" s="61" t="s">
        <v>329</v>
      </c>
      <c r="M6" s="17"/>
      <c r="N6" s="19">
        <f>+N5+O6</f>
        <v>0.40972222222222221</v>
      </c>
      <c r="O6" s="19">
        <f t="shared" ref="O6:Q35" si="0">+O5</f>
        <v>1.7361111111111112E-2</v>
      </c>
      <c r="P6" s="19">
        <f>+P5+Q6</f>
        <v>0.40972222222222221</v>
      </c>
      <c r="Q6" s="19">
        <f t="shared" si="0"/>
        <v>1.7361111111111112E-2</v>
      </c>
      <c r="R6" s="19">
        <f>N6</f>
        <v>0.40972222222222221</v>
      </c>
      <c r="S6" s="19">
        <f>+S5+T6</f>
        <v>0.72222222222222232</v>
      </c>
      <c r="T6" s="19">
        <f t="shared" ref="T6:T35" si="1">+T5</f>
        <v>1.7361111111111112E-2</v>
      </c>
    </row>
    <row r="7" spans="1:20">
      <c r="A7" s="16"/>
      <c r="B7" s="60"/>
      <c r="C7" s="61" t="s">
        <v>325</v>
      </c>
      <c r="D7" s="63"/>
      <c r="E7" s="60"/>
      <c r="F7" s="60" t="s">
        <v>330</v>
      </c>
      <c r="G7" s="63"/>
      <c r="H7" s="60"/>
      <c r="I7" s="61" t="s">
        <v>328</v>
      </c>
      <c r="J7" s="63"/>
      <c r="K7" s="60"/>
      <c r="L7" s="61" t="s">
        <v>332</v>
      </c>
      <c r="M7" s="17"/>
      <c r="N7" s="19">
        <f>+N6+O7</f>
        <v>0.42708333333333331</v>
      </c>
      <c r="O7" s="19">
        <f t="shared" si="0"/>
        <v>1.7361111111111112E-2</v>
      </c>
      <c r="P7" s="19">
        <f>+P6+Q7</f>
        <v>0.42708333333333331</v>
      </c>
      <c r="Q7" s="19">
        <f t="shared" si="0"/>
        <v>1.7361111111111112E-2</v>
      </c>
      <c r="R7" s="19">
        <f>N7</f>
        <v>0.42708333333333331</v>
      </c>
      <c r="S7" s="19">
        <f>+S6+T7</f>
        <v>0.73958333333333348</v>
      </c>
      <c r="T7" s="19">
        <f t="shared" si="1"/>
        <v>1.7361111111111112E-2</v>
      </c>
    </row>
    <row r="8" spans="1:20">
      <c r="A8" s="16"/>
      <c r="B8" s="60"/>
      <c r="C8" s="61" t="s">
        <v>326</v>
      </c>
      <c r="D8" s="63"/>
      <c r="E8" s="60"/>
      <c r="F8" s="60" t="s">
        <v>331</v>
      </c>
      <c r="G8" s="63"/>
      <c r="H8" s="60"/>
      <c r="I8" s="61" t="s">
        <v>326</v>
      </c>
      <c r="J8" s="63"/>
      <c r="K8" s="60"/>
      <c r="L8" s="61" t="s">
        <v>327</v>
      </c>
      <c r="M8" s="17"/>
      <c r="N8" s="19">
        <f>+N7+O8</f>
        <v>0.44444444444444442</v>
      </c>
      <c r="O8" s="19">
        <f t="shared" si="0"/>
        <v>1.7361111111111112E-2</v>
      </c>
      <c r="P8" s="19">
        <f>+P7+Q8</f>
        <v>0.44444444444444442</v>
      </c>
      <c r="Q8" s="19">
        <f t="shared" si="0"/>
        <v>1.7361111111111112E-2</v>
      </c>
      <c r="R8" s="19">
        <f>N8</f>
        <v>0.44444444444444442</v>
      </c>
      <c r="S8" s="19">
        <f>+S7+T8</f>
        <v>0.75694444444444464</v>
      </c>
      <c r="T8" s="19">
        <f t="shared" si="1"/>
        <v>1.7361111111111112E-2</v>
      </c>
    </row>
    <row r="9" spans="1:20">
      <c r="A9" s="16"/>
      <c r="B9" s="60"/>
      <c r="C9" s="61" t="s">
        <v>327</v>
      </c>
      <c r="D9" s="63"/>
      <c r="E9" s="60"/>
      <c r="F9" s="60"/>
      <c r="G9" s="63"/>
      <c r="H9" s="60"/>
      <c r="I9" s="61" t="s">
        <v>323</v>
      </c>
      <c r="J9" s="63"/>
      <c r="K9" s="60"/>
      <c r="L9" s="61"/>
      <c r="M9" s="17"/>
      <c r="N9" s="19">
        <f t="shared" ref="N9:N17" si="2">+N8+O9</f>
        <v>0.46180555555555552</v>
      </c>
      <c r="O9" s="19">
        <f t="shared" si="0"/>
        <v>1.7361111111111112E-2</v>
      </c>
      <c r="P9" s="19">
        <f t="shared" ref="P9:P17" si="3">+P8+Q9</f>
        <v>0.46180555555555552</v>
      </c>
      <c r="Q9" s="19">
        <f t="shared" si="0"/>
        <v>1.7361111111111112E-2</v>
      </c>
      <c r="R9" s="19">
        <f t="shared" ref="R9:R17" si="4">N9</f>
        <v>0.46180555555555552</v>
      </c>
      <c r="S9" s="19">
        <f t="shared" ref="S9:S17" si="5">+S8+T9</f>
        <v>0.7743055555555558</v>
      </c>
      <c r="T9" s="19">
        <f t="shared" si="1"/>
        <v>1.7361111111111112E-2</v>
      </c>
    </row>
    <row r="10" spans="1:20">
      <c r="A10" s="16"/>
      <c r="B10" s="60"/>
      <c r="C10" s="61"/>
      <c r="D10" s="63"/>
      <c r="E10" s="60"/>
      <c r="F10" s="60"/>
      <c r="G10" s="63"/>
      <c r="H10" s="60"/>
      <c r="I10" s="61"/>
      <c r="J10" s="63"/>
      <c r="K10" s="60"/>
      <c r="L10" s="60"/>
      <c r="M10" s="17"/>
      <c r="N10" s="19">
        <f t="shared" si="2"/>
        <v>0.47916666666666663</v>
      </c>
      <c r="O10" s="19">
        <f t="shared" si="0"/>
        <v>1.7361111111111112E-2</v>
      </c>
      <c r="P10" s="19">
        <f t="shared" si="3"/>
        <v>0.47916666666666663</v>
      </c>
      <c r="Q10" s="19">
        <f t="shared" si="0"/>
        <v>1.7361111111111112E-2</v>
      </c>
      <c r="R10" s="19">
        <f t="shared" si="4"/>
        <v>0.47916666666666663</v>
      </c>
      <c r="S10" s="19">
        <f t="shared" si="5"/>
        <v>0.79166666666666696</v>
      </c>
      <c r="T10" s="19">
        <f t="shared" si="1"/>
        <v>1.7361111111111112E-2</v>
      </c>
    </row>
    <row r="11" spans="1:20">
      <c r="A11" s="16"/>
      <c r="B11" s="60"/>
      <c r="C11" s="61"/>
      <c r="D11" s="63"/>
      <c r="E11" s="60"/>
      <c r="F11" s="60"/>
      <c r="G11" s="63"/>
      <c r="H11" s="60"/>
      <c r="I11" s="61"/>
      <c r="J11" s="63"/>
      <c r="K11" s="60"/>
      <c r="L11" s="60"/>
      <c r="M11" s="17"/>
      <c r="N11" s="19">
        <f t="shared" si="2"/>
        <v>0.49652777777777773</v>
      </c>
      <c r="O11" s="19">
        <f t="shared" si="0"/>
        <v>1.7361111111111112E-2</v>
      </c>
      <c r="P11" s="19">
        <f t="shared" si="3"/>
        <v>0.49652777777777773</v>
      </c>
      <c r="Q11" s="19">
        <f t="shared" si="0"/>
        <v>1.7361111111111112E-2</v>
      </c>
      <c r="R11" s="19">
        <f t="shared" si="4"/>
        <v>0.49652777777777773</v>
      </c>
      <c r="S11" s="19">
        <f t="shared" si="5"/>
        <v>0.80902777777777812</v>
      </c>
      <c r="T11" s="19">
        <f t="shared" si="1"/>
        <v>1.7361111111111112E-2</v>
      </c>
    </row>
    <row r="12" spans="1:20">
      <c r="A12" s="16"/>
      <c r="B12" s="16"/>
      <c r="C12" s="16"/>
      <c r="D12" s="16"/>
      <c r="E12" s="16"/>
      <c r="F12" s="20"/>
      <c r="G12" s="16"/>
      <c r="H12" s="52"/>
      <c r="I12" s="52"/>
      <c r="J12" s="16"/>
      <c r="K12" s="16"/>
      <c r="L12" s="16"/>
      <c r="M12" s="17"/>
      <c r="N12" s="19">
        <f t="shared" si="2"/>
        <v>0.51388888888888884</v>
      </c>
      <c r="O12" s="19">
        <f t="shared" si="0"/>
        <v>1.7361111111111112E-2</v>
      </c>
      <c r="P12" s="19">
        <f t="shared" si="3"/>
        <v>0.51388888888888884</v>
      </c>
      <c r="Q12" s="19">
        <f t="shared" si="0"/>
        <v>1.7361111111111112E-2</v>
      </c>
      <c r="R12" s="19">
        <f t="shared" si="4"/>
        <v>0.51388888888888884</v>
      </c>
      <c r="S12" s="19">
        <f t="shared" si="5"/>
        <v>0.82638888888888928</v>
      </c>
      <c r="T12" s="19">
        <f t="shared" si="1"/>
        <v>1.7361111111111112E-2</v>
      </c>
    </row>
    <row r="13" spans="1:20">
      <c r="A13" s="16"/>
      <c r="B13" s="16"/>
      <c r="C13" s="16" t="s">
        <v>120</v>
      </c>
      <c r="D13" s="16"/>
      <c r="E13" s="16"/>
      <c r="F13" s="16" t="s">
        <v>120</v>
      </c>
      <c r="G13" s="16"/>
      <c r="H13" s="16"/>
      <c r="I13" s="16" t="s">
        <v>121</v>
      </c>
      <c r="J13" s="16"/>
      <c r="K13" s="16"/>
      <c r="L13" s="16" t="s">
        <v>121</v>
      </c>
      <c r="M13" s="17"/>
      <c r="N13" s="307">
        <f t="shared" si="2"/>
        <v>0.53125</v>
      </c>
      <c r="O13" s="19">
        <f t="shared" si="0"/>
        <v>1.7361111111111112E-2</v>
      </c>
      <c r="P13" s="307">
        <v>0.55208333333333337</v>
      </c>
      <c r="Q13" s="19">
        <f t="shared" si="0"/>
        <v>1.7361111111111112E-2</v>
      </c>
      <c r="R13" s="19">
        <f t="shared" si="4"/>
        <v>0.53125</v>
      </c>
      <c r="S13" s="19">
        <f t="shared" si="5"/>
        <v>0.84375000000000044</v>
      </c>
      <c r="T13" s="19">
        <f t="shared" si="1"/>
        <v>1.7361111111111112E-2</v>
      </c>
    </row>
    <row r="14" spans="1:20">
      <c r="A14" s="16"/>
      <c r="B14" s="16"/>
      <c r="C14" s="16" t="s">
        <v>3</v>
      </c>
      <c r="D14" s="16"/>
      <c r="E14" s="16"/>
      <c r="F14" s="16" t="s">
        <v>4</v>
      </c>
      <c r="G14" s="16"/>
      <c r="H14" s="16"/>
      <c r="I14" s="20" t="s">
        <v>5</v>
      </c>
      <c r="J14" s="16"/>
      <c r="K14" s="16"/>
      <c r="L14" s="16" t="s">
        <v>116</v>
      </c>
      <c r="M14" s="17"/>
      <c r="N14" s="19">
        <f>+N13+O14</f>
        <v>0.56944444444444442</v>
      </c>
      <c r="O14" s="19">
        <v>3.8194444444444441E-2</v>
      </c>
      <c r="P14" s="19">
        <f t="shared" si="3"/>
        <v>0.56944444444444453</v>
      </c>
      <c r="Q14" s="19">
        <f t="shared" si="0"/>
        <v>1.7361111111111112E-2</v>
      </c>
      <c r="R14" s="19">
        <f t="shared" si="4"/>
        <v>0.56944444444444442</v>
      </c>
      <c r="S14" s="19">
        <f t="shared" si="5"/>
        <v>0.8611111111111116</v>
      </c>
      <c r="T14" s="19">
        <f t="shared" si="1"/>
        <v>1.7361111111111112E-2</v>
      </c>
    </row>
    <row r="15" spans="1:20">
      <c r="A15" s="16"/>
      <c r="B15" s="65"/>
      <c r="C15" s="65" t="s">
        <v>122</v>
      </c>
      <c r="D15" s="63"/>
      <c r="E15" s="65"/>
      <c r="F15" s="65" t="s">
        <v>126</v>
      </c>
      <c r="G15" s="63"/>
      <c r="H15" s="65"/>
      <c r="I15" s="65" t="s">
        <v>130</v>
      </c>
      <c r="J15" s="63"/>
      <c r="K15" s="65"/>
      <c r="L15" s="65" t="s">
        <v>134</v>
      </c>
      <c r="M15" s="17"/>
      <c r="N15" s="19">
        <f t="shared" si="2"/>
        <v>0.58680555555555558</v>
      </c>
      <c r="O15" s="62">
        <v>1.7361111111111112E-2</v>
      </c>
      <c r="P15" s="19">
        <f t="shared" si="3"/>
        <v>0.58680555555555569</v>
      </c>
      <c r="Q15" s="19">
        <f t="shared" si="0"/>
        <v>1.7361111111111112E-2</v>
      </c>
      <c r="R15" s="19">
        <f t="shared" si="4"/>
        <v>0.58680555555555558</v>
      </c>
      <c r="S15" s="19">
        <f t="shared" si="5"/>
        <v>0.87847222222222276</v>
      </c>
      <c r="T15" s="19">
        <f t="shared" si="1"/>
        <v>1.7361111111111112E-2</v>
      </c>
    </row>
    <row r="16" spans="1:20">
      <c r="A16" s="16"/>
      <c r="B16" s="65"/>
      <c r="C16" s="65" t="s">
        <v>123</v>
      </c>
      <c r="D16" s="63"/>
      <c r="E16" s="65"/>
      <c r="F16" s="65" t="s">
        <v>127</v>
      </c>
      <c r="G16" s="63"/>
      <c r="H16" s="65"/>
      <c r="I16" s="65" t="s">
        <v>131</v>
      </c>
      <c r="J16" s="63"/>
      <c r="K16" s="65"/>
      <c r="L16" s="65" t="s">
        <v>135</v>
      </c>
      <c r="M16" s="17"/>
      <c r="N16" s="19">
        <f>+N15+O16</f>
        <v>0.60416666666666674</v>
      </c>
      <c r="O16" s="19">
        <v>1.7361111111111112E-2</v>
      </c>
      <c r="P16" s="19">
        <f t="shared" si="3"/>
        <v>0.60416666666666685</v>
      </c>
      <c r="Q16" s="19">
        <f t="shared" si="0"/>
        <v>1.7361111111111112E-2</v>
      </c>
      <c r="R16" s="19">
        <f t="shared" si="4"/>
        <v>0.60416666666666674</v>
      </c>
      <c r="S16" s="19">
        <f t="shared" si="5"/>
        <v>0.89583333333333393</v>
      </c>
      <c r="T16" s="19">
        <f t="shared" si="1"/>
        <v>1.7361111111111112E-2</v>
      </c>
    </row>
    <row r="17" spans="1:20">
      <c r="A17" s="16"/>
      <c r="B17" s="65"/>
      <c r="C17" s="65" t="s">
        <v>124</v>
      </c>
      <c r="D17" s="63"/>
      <c r="E17" s="65"/>
      <c r="F17" s="65" t="s">
        <v>128</v>
      </c>
      <c r="G17" s="63"/>
      <c r="H17" s="65"/>
      <c r="I17" s="65" t="s">
        <v>132</v>
      </c>
      <c r="J17" s="63"/>
      <c r="K17" s="65"/>
      <c r="L17" s="65" t="s">
        <v>136</v>
      </c>
      <c r="M17" s="17"/>
      <c r="N17" s="62">
        <f t="shared" si="2"/>
        <v>0.6215277777777779</v>
      </c>
      <c r="O17" s="19">
        <f t="shared" si="0"/>
        <v>1.7361111111111112E-2</v>
      </c>
      <c r="P17" s="19">
        <f t="shared" si="3"/>
        <v>0.62152777777777801</v>
      </c>
      <c r="Q17" s="19">
        <f t="shared" si="0"/>
        <v>1.7361111111111112E-2</v>
      </c>
      <c r="R17" s="19">
        <f t="shared" si="4"/>
        <v>0.6215277777777779</v>
      </c>
      <c r="S17" s="19">
        <f t="shared" si="5"/>
        <v>0.91319444444444509</v>
      </c>
      <c r="T17" s="19">
        <f t="shared" si="1"/>
        <v>1.7361111111111112E-2</v>
      </c>
    </row>
    <row r="18" spans="1:20">
      <c r="A18" s="16"/>
      <c r="B18" s="65"/>
      <c r="C18" s="65" t="s">
        <v>125</v>
      </c>
      <c r="D18" s="63"/>
      <c r="E18" s="65"/>
      <c r="F18" s="65" t="s">
        <v>129</v>
      </c>
      <c r="G18" s="63"/>
      <c r="H18" s="65"/>
      <c r="I18" s="65" t="s">
        <v>133</v>
      </c>
      <c r="J18" s="63"/>
      <c r="K18" s="65"/>
      <c r="L18" s="65" t="s">
        <v>137</v>
      </c>
      <c r="M18" s="17"/>
      <c r="N18" s="19">
        <f t="shared" ref="N18:N35" si="6">+N17+O18</f>
        <v>0.63888888888888906</v>
      </c>
      <c r="O18" s="19">
        <v>1.7361111111111112E-2</v>
      </c>
      <c r="P18" s="19">
        <f t="shared" ref="P18:P35" si="7">+P17+Q18</f>
        <v>0.63888888888888917</v>
      </c>
      <c r="Q18" s="19">
        <f t="shared" si="0"/>
        <v>1.7361111111111112E-2</v>
      </c>
      <c r="R18" s="19">
        <f t="shared" ref="R18:R35" si="8">N18</f>
        <v>0.63888888888888906</v>
      </c>
      <c r="S18" s="19">
        <f t="shared" ref="S18:S35" si="9">+S17+T18</f>
        <v>0.93055555555555625</v>
      </c>
      <c r="T18" s="19">
        <f t="shared" si="1"/>
        <v>1.7361111111111112E-2</v>
      </c>
    </row>
    <row r="19" spans="1:20">
      <c r="A19" s="16"/>
      <c r="B19" s="65"/>
      <c r="C19" s="65"/>
      <c r="D19" s="63"/>
      <c r="E19" s="65"/>
      <c r="F19" s="65"/>
      <c r="G19" s="63"/>
      <c r="H19" s="65"/>
      <c r="I19" s="65"/>
      <c r="J19" s="63"/>
      <c r="K19" s="65"/>
      <c r="L19" s="65"/>
      <c r="M19" s="17"/>
      <c r="N19" s="19">
        <f t="shared" si="6"/>
        <v>0.65625000000000022</v>
      </c>
      <c r="O19" s="19">
        <v>1.7361111111111112E-2</v>
      </c>
      <c r="P19" s="19">
        <f t="shared" si="7"/>
        <v>0.65625000000000033</v>
      </c>
      <c r="Q19" s="19">
        <f t="shared" si="0"/>
        <v>1.7361111111111112E-2</v>
      </c>
      <c r="R19" s="19">
        <f t="shared" si="8"/>
        <v>0.65625000000000022</v>
      </c>
      <c r="S19" s="19">
        <f t="shared" si="9"/>
        <v>0.94791666666666741</v>
      </c>
      <c r="T19" s="19">
        <f t="shared" si="1"/>
        <v>1.7361111111111112E-2</v>
      </c>
    </row>
    <row r="20" spans="1:20">
      <c r="A20" s="16"/>
      <c r="B20" s="65"/>
      <c r="C20" s="65"/>
      <c r="D20" s="63"/>
      <c r="E20" s="65"/>
      <c r="F20" s="65"/>
      <c r="G20" s="63"/>
      <c r="H20" s="65"/>
      <c r="I20" s="65"/>
      <c r="J20" s="63"/>
      <c r="K20" s="65"/>
      <c r="L20" s="65"/>
      <c r="M20" s="17"/>
      <c r="N20" s="19">
        <f t="shared" si="6"/>
        <v>0.67361111111111138</v>
      </c>
      <c r="O20" s="19">
        <f t="shared" si="0"/>
        <v>1.7361111111111112E-2</v>
      </c>
      <c r="P20" s="19">
        <f t="shared" si="7"/>
        <v>0.67361111111111149</v>
      </c>
      <c r="Q20" s="19">
        <f t="shared" si="0"/>
        <v>1.7361111111111112E-2</v>
      </c>
      <c r="R20" s="19">
        <f t="shared" si="8"/>
        <v>0.67361111111111138</v>
      </c>
      <c r="S20" s="19">
        <f t="shared" si="9"/>
        <v>0.96527777777777857</v>
      </c>
      <c r="T20" s="19">
        <f t="shared" si="1"/>
        <v>1.7361111111111112E-2</v>
      </c>
    </row>
    <row r="21" spans="1:20">
      <c r="A21" s="16"/>
      <c r="B21" s="65"/>
      <c r="C21" s="65"/>
      <c r="D21" s="63"/>
      <c r="E21" s="65"/>
      <c r="F21" s="65"/>
      <c r="G21" s="63"/>
      <c r="H21" s="65"/>
      <c r="I21" s="65"/>
      <c r="J21" s="63"/>
      <c r="K21" s="65"/>
      <c r="L21" s="65"/>
      <c r="M21" s="17"/>
      <c r="N21" s="19">
        <f t="shared" si="6"/>
        <v>0.69097222222222254</v>
      </c>
      <c r="O21" s="19">
        <f t="shared" si="0"/>
        <v>1.7361111111111112E-2</v>
      </c>
      <c r="P21" s="19">
        <f t="shared" si="7"/>
        <v>0.69097222222222265</v>
      </c>
      <c r="Q21" s="19">
        <f t="shared" si="0"/>
        <v>1.7361111111111112E-2</v>
      </c>
      <c r="R21" s="19">
        <f t="shared" si="8"/>
        <v>0.69097222222222254</v>
      </c>
      <c r="S21" s="19">
        <f t="shared" si="9"/>
        <v>0.98263888888888973</v>
      </c>
      <c r="T21" s="19">
        <f t="shared" si="1"/>
        <v>1.7361111111111112E-2</v>
      </c>
    </row>
    <row r="22" spans="1:20">
      <c r="A22" s="16"/>
      <c r="B22" s="16"/>
      <c r="C22" s="16"/>
      <c r="D22" s="64"/>
      <c r="E22" s="16"/>
      <c r="F22" s="16"/>
      <c r="G22" s="64"/>
      <c r="H22" s="52"/>
      <c r="I22" s="52"/>
      <c r="J22" s="64"/>
      <c r="K22" s="16"/>
      <c r="L22" s="16"/>
      <c r="M22" s="17"/>
      <c r="N22" s="19">
        <f t="shared" si="6"/>
        <v>0.7083333333333337</v>
      </c>
      <c r="O22" s="19">
        <f t="shared" si="0"/>
        <v>1.7361111111111112E-2</v>
      </c>
      <c r="P22" s="19">
        <f t="shared" si="7"/>
        <v>0.70833333333333381</v>
      </c>
      <c r="Q22" s="19">
        <f t="shared" si="0"/>
        <v>1.7361111111111112E-2</v>
      </c>
      <c r="R22" s="19">
        <f t="shared" si="8"/>
        <v>0.7083333333333337</v>
      </c>
      <c r="S22" s="19">
        <f t="shared" si="9"/>
        <v>1.0000000000000009</v>
      </c>
      <c r="T22" s="19">
        <f t="shared" si="1"/>
        <v>1.7361111111111112E-2</v>
      </c>
    </row>
    <row r="23" spans="1:20">
      <c r="A23" s="16"/>
      <c r="B23" s="16"/>
      <c r="C23" s="16" t="s">
        <v>177</v>
      </c>
      <c r="D23" s="64"/>
      <c r="E23" s="16"/>
      <c r="F23" s="16" t="s">
        <v>177</v>
      </c>
      <c r="G23" s="64"/>
      <c r="H23" s="16"/>
      <c r="I23" s="16" t="s">
        <v>176</v>
      </c>
      <c r="J23" s="64"/>
      <c r="K23" s="16"/>
      <c r="L23" s="16" t="s">
        <v>176</v>
      </c>
      <c r="M23" s="17"/>
      <c r="N23" s="19">
        <f t="shared" si="6"/>
        <v>0.72569444444444486</v>
      </c>
      <c r="O23" s="19">
        <f t="shared" si="0"/>
        <v>1.7361111111111112E-2</v>
      </c>
      <c r="P23" s="19">
        <f t="shared" si="7"/>
        <v>0.72569444444444497</v>
      </c>
      <c r="Q23" s="19">
        <f t="shared" si="0"/>
        <v>1.7361111111111112E-2</v>
      </c>
      <c r="R23" s="19">
        <f t="shared" si="8"/>
        <v>0.72569444444444486</v>
      </c>
      <c r="S23" s="19">
        <f t="shared" si="9"/>
        <v>1.017361111111112</v>
      </c>
      <c r="T23" s="19">
        <f t="shared" si="1"/>
        <v>1.7361111111111112E-2</v>
      </c>
    </row>
    <row r="24" spans="1:20">
      <c r="A24" s="16"/>
      <c r="B24" s="16"/>
      <c r="C24" s="30" t="s">
        <v>5</v>
      </c>
      <c r="D24" s="64"/>
      <c r="E24" s="16"/>
      <c r="F24" s="16" t="s">
        <v>116</v>
      </c>
      <c r="G24" s="64"/>
      <c r="H24" s="30"/>
      <c r="I24" s="30" t="s">
        <v>3</v>
      </c>
      <c r="J24" s="66"/>
      <c r="K24" s="30"/>
      <c r="L24" s="30" t="s">
        <v>4</v>
      </c>
      <c r="M24" s="31"/>
      <c r="N24" s="19">
        <f t="shared" si="6"/>
        <v>0.74305555555555602</v>
      </c>
      <c r="O24" s="19">
        <f t="shared" si="0"/>
        <v>1.7361111111111112E-2</v>
      </c>
      <c r="P24" s="19">
        <f t="shared" si="7"/>
        <v>0.74305555555555614</v>
      </c>
      <c r="Q24" s="19">
        <f t="shared" si="0"/>
        <v>1.7361111111111112E-2</v>
      </c>
      <c r="R24" s="19">
        <f t="shared" si="8"/>
        <v>0.74305555555555602</v>
      </c>
      <c r="S24" s="19">
        <f t="shared" si="9"/>
        <v>1.0347222222222232</v>
      </c>
      <c r="T24" s="19">
        <f t="shared" si="1"/>
        <v>1.7361111111111112E-2</v>
      </c>
    </row>
    <row r="25" spans="1:20">
      <c r="A25" s="16"/>
      <c r="B25" s="60"/>
      <c r="C25" s="61" t="s">
        <v>329</v>
      </c>
      <c r="D25" s="63"/>
      <c r="E25" s="60"/>
      <c r="F25" s="61" t="s">
        <v>332</v>
      </c>
      <c r="G25" s="63"/>
      <c r="H25" s="60"/>
      <c r="I25" s="61" t="s">
        <v>328</v>
      </c>
      <c r="J25" s="63"/>
      <c r="K25" s="60"/>
      <c r="L25" s="61" t="s">
        <v>323</v>
      </c>
      <c r="M25" s="17"/>
      <c r="N25" s="19">
        <f t="shared" si="6"/>
        <v>0.76041666666666718</v>
      </c>
      <c r="O25" s="19">
        <f t="shared" si="0"/>
        <v>1.7361111111111112E-2</v>
      </c>
      <c r="P25" s="19">
        <f t="shared" si="7"/>
        <v>0.7604166666666673</v>
      </c>
      <c r="Q25" s="19">
        <f t="shared" si="0"/>
        <v>1.7361111111111112E-2</v>
      </c>
      <c r="R25" s="19">
        <f t="shared" si="8"/>
        <v>0.76041666666666718</v>
      </c>
      <c r="S25" s="19">
        <f t="shared" si="9"/>
        <v>1.0520833333333344</v>
      </c>
      <c r="T25" s="19">
        <f t="shared" si="1"/>
        <v>1.7361111111111112E-2</v>
      </c>
    </row>
    <row r="26" spans="1:20">
      <c r="A26" s="16"/>
      <c r="B26" s="60"/>
      <c r="C26" s="61" t="s">
        <v>323</v>
      </c>
      <c r="D26" s="63"/>
      <c r="E26" s="60"/>
      <c r="F26" s="61" t="s">
        <v>330</v>
      </c>
      <c r="G26" s="63"/>
      <c r="H26" s="60"/>
      <c r="I26" s="61" t="s">
        <v>324</v>
      </c>
      <c r="J26" s="63"/>
      <c r="K26" s="60"/>
      <c r="L26" s="61" t="s">
        <v>330</v>
      </c>
      <c r="M26" s="17"/>
      <c r="N26" s="19">
        <f t="shared" si="6"/>
        <v>0.77777777777777835</v>
      </c>
      <c r="O26" s="19">
        <f t="shared" si="0"/>
        <v>1.7361111111111112E-2</v>
      </c>
      <c r="P26" s="19">
        <f t="shared" si="7"/>
        <v>0.77777777777777846</v>
      </c>
      <c r="Q26" s="19">
        <f t="shared" si="0"/>
        <v>1.7361111111111112E-2</v>
      </c>
      <c r="R26" s="19">
        <f t="shared" si="8"/>
        <v>0.77777777777777835</v>
      </c>
      <c r="S26" s="19">
        <f t="shared" si="9"/>
        <v>1.0694444444444455</v>
      </c>
      <c r="T26" s="19">
        <f t="shared" si="1"/>
        <v>1.7361111111111112E-2</v>
      </c>
    </row>
    <row r="27" spans="1:20">
      <c r="A27" s="16"/>
      <c r="B27" s="60"/>
      <c r="C27" s="61" t="s">
        <v>324</v>
      </c>
      <c r="D27" s="63"/>
      <c r="E27" s="60"/>
      <c r="F27" s="61" t="s">
        <v>328</v>
      </c>
      <c r="G27" s="63"/>
      <c r="H27" s="60"/>
      <c r="I27" s="61" t="s">
        <v>327</v>
      </c>
      <c r="J27" s="63"/>
      <c r="K27" s="60"/>
      <c r="L27" s="61" t="s">
        <v>326</v>
      </c>
      <c r="M27" s="17"/>
      <c r="N27" s="19">
        <f t="shared" si="6"/>
        <v>0.79513888888888951</v>
      </c>
      <c r="O27" s="19">
        <f t="shared" si="0"/>
        <v>1.7361111111111112E-2</v>
      </c>
      <c r="P27" s="19">
        <f t="shared" si="7"/>
        <v>0.79513888888888962</v>
      </c>
      <c r="Q27" s="19">
        <f t="shared" si="0"/>
        <v>1.7361111111111112E-2</v>
      </c>
      <c r="R27" s="19">
        <f t="shared" si="8"/>
        <v>0.79513888888888951</v>
      </c>
      <c r="S27" s="19">
        <f t="shared" si="9"/>
        <v>1.0868055555555567</v>
      </c>
      <c r="T27" s="19">
        <f t="shared" si="1"/>
        <v>1.7361111111111112E-2</v>
      </c>
    </row>
    <row r="28" spans="1:20">
      <c r="A28" s="16"/>
      <c r="B28" s="60"/>
      <c r="C28" s="61" t="s">
        <v>325</v>
      </c>
      <c r="D28" s="63"/>
      <c r="E28" s="60"/>
      <c r="F28" s="61" t="s">
        <v>327</v>
      </c>
      <c r="G28" s="63"/>
      <c r="H28" s="60"/>
      <c r="I28" s="61" t="s">
        <v>329</v>
      </c>
      <c r="J28" s="63"/>
      <c r="K28" s="60"/>
      <c r="L28" s="61" t="s">
        <v>325</v>
      </c>
      <c r="M28" s="17"/>
      <c r="N28" s="19">
        <f t="shared" si="6"/>
        <v>0.81250000000000067</v>
      </c>
      <c r="O28" s="19">
        <f t="shared" si="0"/>
        <v>1.7361111111111112E-2</v>
      </c>
      <c r="P28" s="19">
        <f t="shared" si="7"/>
        <v>0.81250000000000078</v>
      </c>
      <c r="Q28" s="19">
        <f t="shared" si="0"/>
        <v>1.7361111111111112E-2</v>
      </c>
      <c r="R28" s="19">
        <f t="shared" si="8"/>
        <v>0.81250000000000067</v>
      </c>
      <c r="S28" s="19">
        <f t="shared" si="9"/>
        <v>1.1041666666666679</v>
      </c>
      <c r="T28" s="19">
        <f t="shared" si="1"/>
        <v>1.7361111111111112E-2</v>
      </c>
    </row>
    <row r="29" spans="1:20">
      <c r="A29" s="16"/>
      <c r="B29" s="60"/>
      <c r="C29" s="61" t="s">
        <v>326</v>
      </c>
      <c r="D29" s="65"/>
      <c r="E29" s="14"/>
      <c r="F29" s="14"/>
      <c r="G29" s="63"/>
      <c r="H29" s="60"/>
      <c r="I29" s="61"/>
      <c r="J29" s="63"/>
      <c r="K29" s="60"/>
      <c r="L29" s="60"/>
      <c r="M29" s="17"/>
      <c r="N29" s="19">
        <f t="shared" si="6"/>
        <v>0.82986111111111183</v>
      </c>
      <c r="O29" s="19">
        <f t="shared" si="0"/>
        <v>1.7361111111111112E-2</v>
      </c>
      <c r="P29" s="19">
        <f t="shared" si="7"/>
        <v>0.82986111111111194</v>
      </c>
      <c r="Q29" s="19">
        <f t="shared" si="0"/>
        <v>1.7361111111111112E-2</v>
      </c>
      <c r="R29" s="19">
        <f t="shared" si="8"/>
        <v>0.82986111111111183</v>
      </c>
      <c r="S29" s="19">
        <f t="shared" si="9"/>
        <v>1.121527777777779</v>
      </c>
      <c r="T29" s="19">
        <f t="shared" si="1"/>
        <v>1.7361111111111112E-2</v>
      </c>
    </row>
    <row r="30" spans="1:20">
      <c r="A30" s="16"/>
      <c r="B30" s="60"/>
      <c r="C30" s="60"/>
      <c r="D30" s="63"/>
      <c r="E30" s="60"/>
      <c r="F30" s="60"/>
      <c r="G30" s="63"/>
      <c r="H30" s="60"/>
      <c r="I30" s="61"/>
      <c r="J30" s="63"/>
      <c r="K30" s="60"/>
      <c r="L30" s="60"/>
      <c r="M30" s="17"/>
      <c r="N30" s="19">
        <f t="shared" si="6"/>
        <v>0.84722222222222299</v>
      </c>
      <c r="O30" s="19">
        <f t="shared" si="0"/>
        <v>1.7361111111111112E-2</v>
      </c>
      <c r="P30" s="19">
        <f t="shared" si="7"/>
        <v>0.8472222222222231</v>
      </c>
      <c r="Q30" s="19">
        <f t="shared" si="0"/>
        <v>1.7361111111111112E-2</v>
      </c>
      <c r="R30" s="19">
        <f t="shared" si="8"/>
        <v>0.84722222222222299</v>
      </c>
      <c r="S30" s="19">
        <f t="shared" si="9"/>
        <v>1.1388888888888902</v>
      </c>
      <c r="T30" s="19">
        <f t="shared" si="1"/>
        <v>1.7361111111111112E-2</v>
      </c>
    </row>
    <row r="31" spans="1:20">
      <c r="A31" s="16"/>
      <c r="B31" s="60"/>
      <c r="C31" s="60"/>
      <c r="D31" s="63"/>
      <c r="E31" s="60"/>
      <c r="F31" s="60"/>
      <c r="G31" s="63"/>
      <c r="H31" s="60"/>
      <c r="I31" s="60"/>
      <c r="J31" s="63"/>
      <c r="K31" s="60"/>
      <c r="L31" s="60"/>
      <c r="M31" s="17"/>
      <c r="N31" s="19">
        <f t="shared" si="6"/>
        <v>0.86458333333333415</v>
      </c>
      <c r="O31" s="19">
        <f t="shared" si="0"/>
        <v>1.7361111111111112E-2</v>
      </c>
      <c r="P31" s="19">
        <f t="shared" si="7"/>
        <v>0.86458333333333426</v>
      </c>
      <c r="Q31" s="19">
        <f t="shared" si="0"/>
        <v>1.7361111111111112E-2</v>
      </c>
      <c r="R31" s="19">
        <f t="shared" si="8"/>
        <v>0.86458333333333415</v>
      </c>
      <c r="S31" s="19">
        <f t="shared" si="9"/>
        <v>1.1562500000000013</v>
      </c>
      <c r="T31" s="19">
        <f t="shared" si="1"/>
        <v>1.7361111111111112E-2</v>
      </c>
    </row>
    <row r="32" spans="1:20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/>
      <c r="N32" s="19">
        <f t="shared" si="6"/>
        <v>0.88194444444444531</v>
      </c>
      <c r="O32" s="19">
        <f t="shared" si="0"/>
        <v>1.7361111111111112E-2</v>
      </c>
      <c r="P32" s="19">
        <f t="shared" si="7"/>
        <v>0.88194444444444542</v>
      </c>
      <c r="Q32" s="19">
        <f t="shared" si="0"/>
        <v>1.7361111111111112E-2</v>
      </c>
      <c r="R32" s="19">
        <f t="shared" si="8"/>
        <v>0.88194444444444531</v>
      </c>
      <c r="S32" s="19">
        <f t="shared" si="9"/>
        <v>1.1736111111111125</v>
      </c>
      <c r="T32" s="19">
        <f t="shared" si="1"/>
        <v>1.7361111111111112E-2</v>
      </c>
    </row>
    <row r="33" spans="1:20">
      <c r="A33" s="16"/>
      <c r="B33" s="16"/>
      <c r="C33" s="17" t="s">
        <v>8</v>
      </c>
      <c r="D33" s="16"/>
      <c r="E33" s="16"/>
      <c r="F33" s="16"/>
      <c r="G33" s="16"/>
      <c r="H33" s="16"/>
      <c r="I33" s="16"/>
      <c r="J33" s="16"/>
      <c r="K33" s="16"/>
      <c r="L33" s="16"/>
      <c r="M33" s="17"/>
      <c r="N33" s="19">
        <f t="shared" si="6"/>
        <v>0.89930555555555647</v>
      </c>
      <c r="O33" s="19">
        <f t="shared" si="0"/>
        <v>1.7361111111111112E-2</v>
      </c>
      <c r="P33" s="19">
        <f t="shared" si="7"/>
        <v>0.89930555555555658</v>
      </c>
      <c r="Q33" s="19">
        <f t="shared" si="0"/>
        <v>1.7361111111111112E-2</v>
      </c>
      <c r="R33" s="19">
        <f t="shared" si="8"/>
        <v>0.89930555555555647</v>
      </c>
      <c r="S33" s="19">
        <f t="shared" si="9"/>
        <v>1.1909722222222237</v>
      </c>
      <c r="T33" s="19">
        <f t="shared" si="1"/>
        <v>1.7361111111111112E-2</v>
      </c>
    </row>
    <row r="34" spans="1:20">
      <c r="A34" s="16"/>
      <c r="B34" s="16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7"/>
      <c r="N34" s="19">
        <f t="shared" si="6"/>
        <v>0.91666666666666763</v>
      </c>
      <c r="O34" s="19">
        <f t="shared" si="0"/>
        <v>1.7361111111111112E-2</v>
      </c>
      <c r="P34" s="19">
        <f t="shared" si="7"/>
        <v>0.91666666666666774</v>
      </c>
      <c r="Q34" s="19">
        <f t="shared" si="0"/>
        <v>1.7361111111111112E-2</v>
      </c>
      <c r="R34" s="19">
        <f t="shared" si="8"/>
        <v>0.91666666666666763</v>
      </c>
      <c r="S34" s="19">
        <f t="shared" si="9"/>
        <v>1.2083333333333348</v>
      </c>
      <c r="T34" s="19">
        <f t="shared" si="1"/>
        <v>1.7361111111111112E-2</v>
      </c>
    </row>
    <row r="35" spans="1:20">
      <c r="A35" s="17"/>
      <c r="B35" s="17"/>
      <c r="C35" s="17"/>
      <c r="D35" s="17"/>
      <c r="E35" s="17"/>
      <c r="F35" s="17"/>
      <c r="G35" s="17"/>
      <c r="H35" s="17"/>
      <c r="I35" s="18"/>
      <c r="J35" s="18"/>
      <c r="K35" s="18"/>
      <c r="L35" s="18"/>
      <c r="M35" s="17"/>
      <c r="N35" s="19">
        <f t="shared" si="6"/>
        <v>0.93402777777777879</v>
      </c>
      <c r="O35" s="19">
        <f t="shared" si="0"/>
        <v>1.7361111111111112E-2</v>
      </c>
      <c r="P35" s="19">
        <f t="shared" si="7"/>
        <v>0.9340277777777789</v>
      </c>
      <c r="Q35" s="19">
        <f t="shared" si="0"/>
        <v>1.7361111111111112E-2</v>
      </c>
      <c r="R35" s="19">
        <f t="shared" si="8"/>
        <v>0.93402777777777879</v>
      </c>
      <c r="S35" s="19">
        <f t="shared" si="9"/>
        <v>1.225694444444446</v>
      </c>
      <c r="T35" s="19">
        <f t="shared" si="1"/>
        <v>1.7361111111111112E-2</v>
      </c>
    </row>
    <row r="36" spans="1:20">
      <c r="A36" s="17"/>
      <c r="B36" s="17"/>
      <c r="C36" s="17"/>
      <c r="D36" s="17"/>
      <c r="E36" s="17"/>
      <c r="F36" s="17"/>
      <c r="G36" s="17"/>
      <c r="H36" s="44"/>
      <c r="I36" s="45"/>
      <c r="J36" s="16"/>
      <c r="K36" s="44"/>
      <c r="L36" s="33"/>
      <c r="M36" s="33"/>
      <c r="N36" s="17"/>
      <c r="O36" s="17"/>
      <c r="P36" s="17"/>
      <c r="Q36" s="17"/>
      <c r="R36" s="17"/>
      <c r="S36" s="17"/>
      <c r="T36" s="17"/>
    </row>
    <row r="37" spans="1:20">
      <c r="A37" s="23" t="s">
        <v>294</v>
      </c>
      <c r="B37" s="1"/>
      <c r="C37" s="1"/>
      <c r="D37" s="17"/>
      <c r="E37" s="17"/>
      <c r="F37" s="17"/>
      <c r="G37" s="17"/>
      <c r="H37" s="44"/>
      <c r="I37" s="45"/>
      <c r="J37" s="16"/>
      <c r="K37" s="44"/>
      <c r="L37" s="33"/>
      <c r="M37" s="33"/>
      <c r="N37" s="17"/>
      <c r="O37" s="17"/>
      <c r="P37" s="17"/>
      <c r="Q37" s="17"/>
      <c r="R37" s="17"/>
      <c r="S37" s="17"/>
      <c r="T37" s="17"/>
    </row>
    <row r="38" spans="1:20">
      <c r="A38" s="24" t="s">
        <v>295</v>
      </c>
      <c r="B38" s="1"/>
      <c r="C38" s="1"/>
      <c r="D38" s="17"/>
      <c r="E38" s="17"/>
      <c r="F38" s="17"/>
      <c r="G38" s="17"/>
      <c r="H38" s="44"/>
      <c r="I38" s="45"/>
      <c r="J38" s="16"/>
      <c r="K38" s="44"/>
      <c r="L38" s="33"/>
      <c r="M38" s="33"/>
      <c r="N38" s="17"/>
      <c r="O38" s="17"/>
      <c r="P38" s="17"/>
      <c r="Q38" s="17"/>
      <c r="R38" s="17"/>
      <c r="S38" s="17"/>
      <c r="T38" s="17"/>
    </row>
    <row r="39" spans="1:20">
      <c r="A39" s="24" t="s">
        <v>295</v>
      </c>
      <c r="B39" s="1"/>
      <c r="C39" s="1"/>
      <c r="D39" s="17"/>
      <c r="E39" s="17"/>
      <c r="F39" s="17"/>
      <c r="G39" s="17"/>
      <c r="H39" s="44"/>
      <c r="I39" s="45"/>
      <c r="J39" s="16"/>
      <c r="K39" s="44"/>
      <c r="L39" s="33"/>
      <c r="M39" s="33"/>
      <c r="N39" s="17"/>
      <c r="O39" s="17"/>
      <c r="P39" s="17"/>
      <c r="Q39" s="17"/>
      <c r="R39" s="17"/>
      <c r="S39" s="17"/>
      <c r="T39" s="17"/>
    </row>
    <row r="40" spans="1:20">
      <c r="A40" s="25" t="s">
        <v>296</v>
      </c>
      <c r="B40" s="1"/>
      <c r="C40" s="1"/>
      <c r="D40" s="17"/>
      <c r="E40" s="17"/>
      <c r="F40" s="17"/>
      <c r="G40" s="17"/>
      <c r="H40" s="44"/>
      <c r="I40" s="45"/>
      <c r="J40" s="16"/>
      <c r="K40" s="44"/>
      <c r="L40" s="33"/>
      <c r="M40" s="33"/>
      <c r="N40" s="17" t="s">
        <v>86</v>
      </c>
      <c r="O40" s="1" t="s">
        <v>302</v>
      </c>
      <c r="P40" s="1"/>
      <c r="Q40" s="1"/>
      <c r="R40" s="1"/>
      <c r="S40" s="17"/>
      <c r="T40" s="17"/>
    </row>
    <row r="41" spans="1:20">
      <c r="A41" s="2" t="s">
        <v>297</v>
      </c>
      <c r="B41" s="1"/>
      <c r="C41" s="1"/>
      <c r="D41" s="50"/>
      <c r="E41" s="50"/>
      <c r="F41" s="50"/>
      <c r="G41" s="50"/>
      <c r="H41" s="50"/>
      <c r="I41" s="50"/>
      <c r="J41" s="17"/>
      <c r="K41" s="17"/>
      <c r="L41" s="17"/>
      <c r="M41" s="17"/>
      <c r="N41" s="17" t="s">
        <v>40</v>
      </c>
      <c r="O41" s="1" t="s">
        <v>302</v>
      </c>
      <c r="P41" s="1"/>
      <c r="Q41" s="1"/>
      <c r="R41" s="1"/>
      <c r="S41" s="17"/>
      <c r="T41" s="17"/>
    </row>
    <row r="42" spans="1:20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20">
      <c r="A44" s="60" t="s">
        <v>150</v>
      </c>
      <c r="B44" s="60"/>
      <c r="C44" s="60" t="s">
        <v>151</v>
      </c>
      <c r="D44" s="4"/>
      <c r="E44" s="4"/>
      <c r="F44" s="26"/>
      <c r="G44" s="4"/>
      <c r="H44" s="4"/>
      <c r="I44" s="26"/>
      <c r="J44" s="4"/>
      <c r="K44" s="1"/>
      <c r="L44" s="1"/>
      <c r="M44" s="1"/>
      <c r="N44" s="1"/>
      <c r="O44" s="1"/>
      <c r="P44" s="1"/>
      <c r="Q44" s="1"/>
    </row>
    <row r="45" spans="1:20">
      <c r="A45" s="60" t="s">
        <v>152</v>
      </c>
      <c r="B45" s="60"/>
      <c r="C45" s="61" t="s">
        <v>153</v>
      </c>
      <c r="D45" s="4"/>
      <c r="E45" s="4"/>
      <c r="F45" s="26"/>
      <c r="G45" s="4"/>
      <c r="H45" s="4"/>
      <c r="I45" s="26"/>
      <c r="J45" s="4"/>
      <c r="K45" s="1"/>
      <c r="L45" s="1"/>
      <c r="M45" s="1"/>
      <c r="N45" s="1"/>
      <c r="O45" s="1"/>
      <c r="P45" s="1"/>
      <c r="Q45" s="1"/>
    </row>
    <row r="46" spans="1:20">
      <c r="A46" s="60" t="s">
        <v>152</v>
      </c>
      <c r="B46" s="60"/>
      <c r="C46" s="61" t="s">
        <v>154</v>
      </c>
      <c r="D46" s="4"/>
      <c r="E46" s="4"/>
      <c r="F46" s="26"/>
      <c r="G46" s="4"/>
      <c r="H46" s="4"/>
      <c r="I46" s="26"/>
      <c r="J46" s="4"/>
      <c r="K46" s="1"/>
      <c r="L46" s="1"/>
      <c r="M46" s="1"/>
      <c r="N46" s="1"/>
      <c r="O46" s="1"/>
      <c r="P46" s="1"/>
      <c r="Q46" s="1"/>
    </row>
    <row r="47" spans="1:20">
      <c r="A47" s="60" t="s">
        <v>156</v>
      </c>
      <c r="B47" s="60"/>
      <c r="C47" s="61" t="s">
        <v>155</v>
      </c>
      <c r="D47" s="4"/>
      <c r="E47" s="4"/>
      <c r="F47" s="26"/>
      <c r="G47" s="4"/>
      <c r="H47" s="4"/>
      <c r="I47" s="26"/>
      <c r="J47" s="4"/>
      <c r="K47" s="1"/>
      <c r="L47" s="1"/>
      <c r="M47" s="1"/>
      <c r="N47" s="1"/>
      <c r="O47" s="1"/>
      <c r="P47" s="1"/>
      <c r="Q47" s="1"/>
    </row>
    <row r="48" spans="1:20">
      <c r="A48" s="60" t="s">
        <v>157</v>
      </c>
      <c r="B48" s="60"/>
      <c r="C48" s="60" t="s">
        <v>158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60" t="s">
        <v>159</v>
      </c>
      <c r="B49" s="60"/>
      <c r="C49" s="61" t="s">
        <v>160</v>
      </c>
      <c r="D49" s="4"/>
      <c r="E49" s="4"/>
      <c r="F49" s="26"/>
      <c r="G49" s="4"/>
      <c r="H49" s="4"/>
      <c r="I49" s="26"/>
      <c r="J49" s="4"/>
      <c r="K49" s="1"/>
      <c r="L49" s="1"/>
      <c r="M49" s="1"/>
      <c r="N49" s="1"/>
      <c r="O49" s="1"/>
      <c r="P49" s="1"/>
      <c r="Q49" s="1"/>
    </row>
    <row r="50" spans="1:17">
      <c r="A50" s="60" t="s">
        <v>161</v>
      </c>
      <c r="B50" s="60"/>
      <c r="C50" s="61" t="s">
        <v>165</v>
      </c>
      <c r="D50" s="4"/>
      <c r="E50" s="4"/>
      <c r="F50" s="26"/>
      <c r="G50" s="4"/>
      <c r="H50" s="4"/>
      <c r="I50" s="26"/>
      <c r="J50" s="4"/>
      <c r="K50" s="1"/>
      <c r="L50" s="1"/>
      <c r="M50" s="1"/>
      <c r="N50" s="1"/>
      <c r="O50" s="1"/>
      <c r="P50" s="1"/>
      <c r="Q50" s="1"/>
    </row>
    <row r="51" spans="1:17">
      <c r="A51" s="60" t="s">
        <v>162</v>
      </c>
      <c r="B51" s="60"/>
      <c r="C51" s="61" t="s">
        <v>166</v>
      </c>
      <c r="D51" s="4"/>
      <c r="E51" s="4"/>
      <c r="F51" s="26"/>
      <c r="G51" s="4"/>
      <c r="H51" s="4"/>
      <c r="I51" s="26"/>
      <c r="J51" s="4"/>
      <c r="K51" s="1"/>
      <c r="L51" s="1"/>
      <c r="M51" s="1"/>
      <c r="N51" s="1"/>
      <c r="O51" s="1"/>
      <c r="P51" s="1"/>
      <c r="Q51" s="1"/>
    </row>
    <row r="52" spans="1:17">
      <c r="A52" s="60" t="s">
        <v>163</v>
      </c>
      <c r="B52" s="60"/>
      <c r="C52" s="61" t="s">
        <v>167</v>
      </c>
      <c r="D52" s="4"/>
      <c r="E52" s="4"/>
      <c r="F52" s="26"/>
      <c r="G52" s="4"/>
      <c r="H52" s="4"/>
      <c r="I52" s="26"/>
      <c r="J52" s="4"/>
      <c r="K52" s="1"/>
      <c r="L52" s="1"/>
      <c r="M52" s="1"/>
      <c r="N52" s="1"/>
      <c r="O52" s="1"/>
      <c r="P52" s="1"/>
      <c r="Q52" s="1"/>
    </row>
    <row r="53" spans="1:17">
      <c r="A53" s="60" t="s">
        <v>164</v>
      </c>
      <c r="B53" s="60"/>
      <c r="C53" s="60" t="s">
        <v>169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60" t="s">
        <v>157</v>
      </c>
      <c r="B54" s="60"/>
      <c r="C54" s="61" t="s">
        <v>168</v>
      </c>
      <c r="D54" s="4"/>
      <c r="E54" s="4"/>
      <c r="F54" s="26"/>
      <c r="G54" s="4"/>
      <c r="H54" s="4"/>
      <c r="I54" s="26"/>
      <c r="J54" s="4"/>
      <c r="K54" s="1"/>
      <c r="L54" s="1"/>
      <c r="M54" s="1"/>
      <c r="N54" s="1"/>
      <c r="O54" s="1"/>
      <c r="P54" s="1"/>
      <c r="Q54" s="1"/>
    </row>
    <row r="55" spans="1:17">
      <c r="A55" s="60" t="s">
        <v>170</v>
      </c>
      <c r="B55" s="60"/>
      <c r="C55" s="61" t="s">
        <v>171</v>
      </c>
      <c r="D55" s="4"/>
      <c r="E55" s="4"/>
      <c r="F55" s="26"/>
      <c r="G55" s="4"/>
      <c r="H55" s="4"/>
      <c r="I55" s="26"/>
      <c r="J55" s="4"/>
      <c r="K55" s="1"/>
      <c r="L55" s="1"/>
      <c r="M55" s="1"/>
      <c r="N55" s="1"/>
      <c r="O55" s="1"/>
      <c r="P55" s="1"/>
      <c r="Q55" s="1"/>
    </row>
    <row r="56" spans="1:17">
      <c r="A56" s="60" t="s">
        <v>173</v>
      </c>
      <c r="B56" s="60"/>
      <c r="C56" s="61" t="s">
        <v>172</v>
      </c>
      <c r="D56" s="4"/>
      <c r="E56" s="4"/>
      <c r="F56" s="26"/>
      <c r="G56" s="4"/>
      <c r="H56" s="4"/>
      <c r="I56" s="26"/>
      <c r="J56" s="4"/>
      <c r="K56" s="1"/>
      <c r="L56" s="1"/>
      <c r="M56" s="1"/>
      <c r="N56" s="1"/>
      <c r="O56" s="1"/>
      <c r="P56" s="1"/>
      <c r="Q56" s="1"/>
    </row>
    <row r="57" spans="1:17">
      <c r="A57" s="60" t="s">
        <v>214</v>
      </c>
      <c r="B57" s="60"/>
      <c r="C57" s="61" t="s">
        <v>208</v>
      </c>
      <c r="D57" s="4"/>
      <c r="E57" s="4"/>
      <c r="F57" s="26"/>
      <c r="G57" s="4"/>
      <c r="H57" s="4"/>
      <c r="I57" s="26"/>
      <c r="J57" s="4"/>
      <c r="K57" s="1"/>
      <c r="L57" s="1"/>
      <c r="M57" s="1"/>
      <c r="N57" s="1"/>
      <c r="O57" s="1"/>
      <c r="P57" s="1"/>
      <c r="Q57" s="1"/>
    </row>
    <row r="58" spans="1:17">
      <c r="A58" s="60"/>
      <c r="B58" s="60"/>
      <c r="C58" s="6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60"/>
      <c r="B59" s="60"/>
      <c r="C59" s="61"/>
      <c r="D59" s="4"/>
      <c r="E59" s="4"/>
      <c r="F59" s="26"/>
      <c r="G59" s="4"/>
      <c r="H59" s="4"/>
      <c r="I59" s="26"/>
      <c r="J59" s="4"/>
      <c r="K59" s="1"/>
      <c r="L59" s="1"/>
      <c r="M59" s="1"/>
      <c r="N59" s="1"/>
      <c r="O59" s="1"/>
      <c r="P59" s="1"/>
      <c r="Q59" s="1"/>
    </row>
    <row r="60" spans="1:17">
      <c r="A60" s="4"/>
      <c r="B60" s="4"/>
      <c r="C60" s="29"/>
      <c r="D60" s="4"/>
      <c r="E60" s="4"/>
      <c r="F60" s="26"/>
      <c r="G60" s="4"/>
      <c r="H60" s="4"/>
      <c r="I60" s="26"/>
      <c r="J60" s="4"/>
      <c r="K60" s="1"/>
      <c r="L60" s="1"/>
      <c r="M60" s="1"/>
      <c r="N60" s="1"/>
      <c r="O60" s="1"/>
      <c r="P60" s="1"/>
      <c r="Q60" s="1"/>
    </row>
    <row r="61" spans="1:17">
      <c r="A61" s="4"/>
      <c r="B61" s="4"/>
      <c r="C61" s="26"/>
      <c r="D61" s="4"/>
      <c r="E61" s="4"/>
      <c r="F61" s="26"/>
      <c r="G61" s="4"/>
      <c r="H61" s="4"/>
      <c r="I61" s="26"/>
      <c r="J61" s="4"/>
      <c r="K61" s="1"/>
      <c r="L61" s="1"/>
      <c r="M61" s="1"/>
      <c r="N61" s="1"/>
      <c r="O61" s="1"/>
      <c r="P61" s="1"/>
      <c r="Q61" s="1"/>
    </row>
    <row r="62" spans="1:17">
      <c r="A62" s="4"/>
      <c r="B62" s="4"/>
      <c r="C62" s="29"/>
      <c r="D62" s="4"/>
      <c r="E62" s="4"/>
      <c r="F62" s="26"/>
      <c r="G62" s="4"/>
      <c r="H62" s="4"/>
      <c r="I62" s="26"/>
      <c r="J62" s="4"/>
      <c r="K62" s="1"/>
      <c r="L62" s="1"/>
      <c r="M62" s="1"/>
      <c r="N62" s="1"/>
      <c r="O62" s="1"/>
      <c r="P62" s="1"/>
      <c r="Q62" s="1"/>
    </row>
    <row r="63" spans="1:17">
      <c r="A63" s="4"/>
      <c r="B63" s="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4"/>
      <c r="B64" s="4"/>
      <c r="C64" s="4"/>
      <c r="D64" s="4"/>
      <c r="E64" s="4"/>
      <c r="F64" s="26"/>
      <c r="G64" s="4"/>
      <c r="H64" s="4"/>
      <c r="I64" s="26"/>
      <c r="J64" s="4"/>
      <c r="K64" s="1"/>
      <c r="L64" s="1"/>
      <c r="M64" s="1"/>
      <c r="N64" s="1"/>
      <c r="O64" s="1"/>
      <c r="P64" s="1"/>
      <c r="Q64" s="1"/>
    </row>
    <row r="65" spans="1:17">
      <c r="A65" s="4"/>
      <c r="B65" s="4"/>
      <c r="C65" s="29"/>
      <c r="D65" s="4"/>
      <c r="E65" s="4"/>
      <c r="F65" s="26"/>
      <c r="G65" s="4"/>
      <c r="H65" s="4"/>
      <c r="I65" s="26"/>
      <c r="J65" s="4"/>
      <c r="K65" s="1"/>
      <c r="L65" s="1"/>
      <c r="M65" s="1"/>
      <c r="N65" s="1"/>
      <c r="O65" s="1"/>
      <c r="P65" s="1"/>
      <c r="Q65" s="1"/>
    </row>
    <row r="66" spans="1:17">
      <c r="A66" s="4"/>
      <c r="B66" s="4"/>
      <c r="C66" s="29"/>
      <c r="D66" s="4"/>
      <c r="E66" s="4"/>
      <c r="F66" s="26"/>
      <c r="G66" s="4"/>
      <c r="H66" s="4"/>
      <c r="I66" s="26"/>
      <c r="J66" s="4"/>
      <c r="K66" s="1"/>
      <c r="L66" s="1"/>
      <c r="M66" s="1"/>
      <c r="N66" s="1"/>
      <c r="O66" s="1"/>
      <c r="P66" s="1"/>
      <c r="Q66" s="1"/>
    </row>
    <row r="67" spans="1:17">
      <c r="A67" s="4"/>
      <c r="B67" s="4"/>
      <c r="C67" s="29"/>
      <c r="D67" s="4"/>
      <c r="E67" s="4"/>
      <c r="F67" s="26"/>
      <c r="G67" s="4"/>
      <c r="H67" s="4"/>
      <c r="I67" s="26"/>
      <c r="J67" s="4"/>
      <c r="K67" s="1"/>
      <c r="L67" s="1"/>
      <c r="M67" s="1"/>
      <c r="N67" s="1"/>
      <c r="O67" s="1"/>
      <c r="P67" s="1"/>
      <c r="Q67" s="1"/>
    </row>
    <row r="68" spans="1:17">
      <c r="A68" s="4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4"/>
      <c r="B69" s="4"/>
      <c r="C69" s="4"/>
      <c r="D69" s="4"/>
      <c r="E69" s="4"/>
      <c r="F69" s="4"/>
      <c r="G69" s="4"/>
      <c r="H69" s="4"/>
      <c r="I69" s="4"/>
      <c r="J69" s="4"/>
      <c r="K69" s="1"/>
      <c r="L69" s="1"/>
      <c r="M69" s="1"/>
      <c r="N69" s="1"/>
      <c r="O69" s="1"/>
      <c r="P69" s="1"/>
      <c r="Q69" s="1"/>
    </row>
    <row r="70" spans="1:17">
      <c r="A70" s="4"/>
      <c r="B70" s="4"/>
      <c r="C70" s="4"/>
      <c r="D70" s="4"/>
      <c r="E70" s="4"/>
      <c r="F70" s="4"/>
      <c r="G70" s="4"/>
      <c r="H70" s="4"/>
      <c r="I70" s="4"/>
      <c r="J70" s="4"/>
      <c r="K70" s="1"/>
      <c r="L70" s="1"/>
      <c r="M70" s="1"/>
      <c r="N70" s="1"/>
      <c r="O70" s="1"/>
      <c r="P70" s="1"/>
      <c r="Q70" s="1"/>
    </row>
    <row r="71" spans="1:17">
      <c r="A71" s="4"/>
      <c r="B71" s="4"/>
      <c r="C71" s="4"/>
      <c r="D71" s="4"/>
      <c r="E71" s="4"/>
      <c r="F71" s="26"/>
      <c r="G71" s="4"/>
      <c r="H71" s="4"/>
      <c r="I71" s="4"/>
      <c r="J71" s="4"/>
      <c r="K71" s="1"/>
      <c r="L71" s="1"/>
      <c r="M71" s="1"/>
      <c r="N71" s="1"/>
      <c r="O71" s="1"/>
      <c r="P71" s="1"/>
      <c r="Q71" s="1"/>
    </row>
    <row r="72" spans="1:17">
      <c r="A72" s="4"/>
      <c r="B72" s="4"/>
      <c r="C72" s="4"/>
      <c r="D72" s="4"/>
      <c r="E72" s="4"/>
      <c r="F72" s="4"/>
      <c r="G72" s="4"/>
      <c r="H72" s="4"/>
      <c r="I72" s="4"/>
      <c r="J72" s="4"/>
      <c r="K72" s="1"/>
      <c r="L72" s="1"/>
      <c r="M72" s="1"/>
      <c r="N72" s="1"/>
      <c r="O72" s="1"/>
      <c r="P72" s="1"/>
      <c r="Q72" s="1"/>
    </row>
    <row r="73" spans="1:17">
      <c r="A73" s="4"/>
      <c r="B73" s="4"/>
      <c r="C73" s="4"/>
      <c r="D73" s="4"/>
      <c r="E73" s="4"/>
      <c r="F73" s="4"/>
      <c r="G73" s="4"/>
      <c r="H73" s="4"/>
      <c r="I73" s="4"/>
      <c r="J73" s="1"/>
      <c r="K73" s="1"/>
      <c r="L73" s="1"/>
      <c r="M73" s="1"/>
      <c r="N73" s="1"/>
      <c r="O73" s="1"/>
      <c r="P73" s="1"/>
      <c r="Q73" s="1"/>
    </row>
    <row r="74" spans="1:17">
      <c r="A74" s="3"/>
      <c r="B74" s="3"/>
      <c r="C74" s="3"/>
      <c r="D74" s="3"/>
      <c r="E74" s="3"/>
      <c r="F74" s="4"/>
      <c r="G74" s="4"/>
      <c r="H74" s="3"/>
      <c r="I74" s="3"/>
    </row>
    <row r="75" spans="1:17">
      <c r="A75" s="3"/>
      <c r="B75" s="3"/>
      <c r="C75" s="3"/>
      <c r="D75" s="3"/>
      <c r="E75" s="3"/>
      <c r="F75" s="3"/>
      <c r="G75" s="3"/>
      <c r="H75" s="3"/>
      <c r="I75" s="3"/>
    </row>
    <row r="76" spans="1:17">
      <c r="A76" s="3"/>
      <c r="B76" s="3"/>
      <c r="C76" s="3"/>
      <c r="D76" s="3"/>
      <c r="E76" s="3"/>
      <c r="F76" s="3"/>
      <c r="G76" s="3"/>
      <c r="H76" s="3"/>
      <c r="I76" s="3"/>
    </row>
    <row r="77" spans="1:17">
      <c r="A77" s="3"/>
      <c r="B77" s="3"/>
      <c r="C77" s="3"/>
      <c r="D77" s="3"/>
      <c r="E77" s="3"/>
      <c r="F77" s="3"/>
      <c r="G77" s="3"/>
      <c r="H77" s="3"/>
      <c r="I77" s="3"/>
    </row>
    <row r="78" spans="1:17">
      <c r="A78" s="3"/>
      <c r="B78" s="3"/>
      <c r="C78" s="3"/>
      <c r="D78" s="3"/>
      <c r="E78" s="3"/>
      <c r="F78" s="3"/>
      <c r="G78" s="3"/>
      <c r="H78" s="3"/>
      <c r="I78" s="3"/>
    </row>
    <row r="79" spans="1:17">
      <c r="A79" s="3"/>
      <c r="B79" s="3"/>
      <c r="C79" s="3"/>
      <c r="D79" s="3"/>
      <c r="E79" s="3"/>
      <c r="F79" s="3"/>
      <c r="G79" s="3"/>
      <c r="H79" s="3"/>
      <c r="I79" s="3"/>
    </row>
    <row r="80" spans="1:17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/>
      <c r="C83" s="3"/>
      <c r="D83" s="3"/>
      <c r="E83" s="3"/>
      <c r="F83" s="3"/>
      <c r="G83" s="3"/>
      <c r="H83" s="3"/>
      <c r="I83" s="3"/>
    </row>
    <row r="84" spans="1:9">
      <c r="A84" s="3"/>
      <c r="B84" s="3"/>
      <c r="C84" s="3"/>
      <c r="D84" s="3"/>
      <c r="E84" s="3"/>
      <c r="F84" s="3"/>
      <c r="G84" s="3"/>
      <c r="H84" s="3"/>
      <c r="I84" s="3"/>
    </row>
    <row r="85" spans="1:9">
      <c r="A85" s="3"/>
      <c r="B85" s="3"/>
      <c r="C85" s="3"/>
      <c r="D85" s="3"/>
      <c r="E85" s="3"/>
      <c r="F85" s="3"/>
      <c r="G85" s="3"/>
      <c r="H85" s="3"/>
      <c r="I85" s="3"/>
    </row>
    <row r="86" spans="1:9">
      <c r="A86" s="3"/>
      <c r="B86" s="3"/>
      <c r="C86" s="3"/>
      <c r="D86" s="3"/>
      <c r="E86" s="3"/>
      <c r="F86" s="3"/>
      <c r="G86" s="3"/>
      <c r="H86" s="3"/>
      <c r="I86" s="3"/>
    </row>
    <row r="87" spans="1:9">
      <c r="A87" s="3"/>
      <c r="B87" s="3"/>
      <c r="C87" s="3"/>
      <c r="D87" s="3"/>
      <c r="E87" s="3"/>
      <c r="F87" s="3"/>
      <c r="G87" s="3"/>
      <c r="H87" s="3"/>
      <c r="I87" s="3"/>
    </row>
    <row r="88" spans="1:9">
      <c r="A88" s="3"/>
      <c r="B88" s="3"/>
      <c r="C88" s="3"/>
      <c r="D88" s="3"/>
      <c r="E88" s="3"/>
      <c r="F88" s="3"/>
      <c r="G88" s="3"/>
      <c r="H88" s="3"/>
      <c r="I88" s="3"/>
    </row>
    <row r="89" spans="1:9">
      <c r="A89" s="3"/>
      <c r="B89" s="3"/>
      <c r="C89" s="3"/>
      <c r="D89" s="3"/>
      <c r="E89" s="3"/>
      <c r="F89" s="3"/>
      <c r="G89" s="3"/>
      <c r="H89" s="3"/>
      <c r="I89" s="3"/>
    </row>
    <row r="90" spans="1:9">
      <c r="A90" s="3"/>
      <c r="B90" s="3"/>
      <c r="C90" s="3"/>
      <c r="D90" s="3"/>
      <c r="E90" s="3"/>
      <c r="F90" s="3"/>
      <c r="G90" s="3"/>
      <c r="H90" s="3"/>
      <c r="I90" s="3"/>
    </row>
    <row r="91" spans="1:9">
      <c r="A91" s="3"/>
      <c r="B91" s="3"/>
      <c r="C91" s="3"/>
      <c r="D91" s="3"/>
      <c r="E91" s="3"/>
      <c r="F91" s="3"/>
      <c r="G91" s="3"/>
      <c r="H91" s="3"/>
      <c r="I91" s="3"/>
    </row>
    <row r="92" spans="1:9">
      <c r="A92" s="3"/>
      <c r="B92" s="3"/>
      <c r="C92" s="3"/>
      <c r="D92" s="3"/>
      <c r="E92" s="3"/>
      <c r="F92" s="3"/>
      <c r="G92" s="3"/>
      <c r="H92" s="3"/>
      <c r="I92" s="3"/>
    </row>
    <row r="93" spans="1:9">
      <c r="A93" s="3"/>
      <c r="B93" s="3"/>
      <c r="C93" s="3"/>
      <c r="D93" s="3"/>
      <c r="E93" s="3"/>
      <c r="F93" s="3"/>
      <c r="G93" s="3"/>
      <c r="H93" s="3"/>
      <c r="I93" s="3"/>
    </row>
    <row r="94" spans="1:9">
      <c r="A94" s="3"/>
      <c r="B94" s="3"/>
      <c r="C94" s="3"/>
      <c r="D94" s="3"/>
      <c r="E94" s="3"/>
      <c r="F94" s="3"/>
      <c r="G94" s="3"/>
      <c r="H94" s="3"/>
      <c r="I94" s="3"/>
    </row>
    <row r="95" spans="1:9">
      <c r="A95" s="3"/>
      <c r="B95" s="3"/>
      <c r="C95" s="3"/>
      <c r="D95" s="3"/>
      <c r="E95" s="3"/>
      <c r="F95" s="3"/>
      <c r="G95" s="3"/>
      <c r="H95" s="3"/>
      <c r="I95" s="3"/>
    </row>
    <row r="96" spans="1:9">
      <c r="A96" s="3"/>
      <c r="B96" s="3"/>
      <c r="C96" s="3"/>
      <c r="D96" s="3"/>
      <c r="E96" s="3"/>
      <c r="F96" s="3"/>
      <c r="G96" s="3"/>
      <c r="H96" s="3"/>
      <c r="I96" s="3"/>
    </row>
    <row r="97" spans="1:9">
      <c r="A97" s="3"/>
      <c r="B97" s="3"/>
      <c r="C97" s="3"/>
      <c r="D97" s="3"/>
      <c r="E97" s="3"/>
      <c r="F97" s="3"/>
      <c r="G97" s="3"/>
      <c r="H97" s="3"/>
      <c r="I97" s="3"/>
    </row>
    <row r="98" spans="1:9">
      <c r="A98" s="3"/>
      <c r="B98" s="3"/>
      <c r="C98" s="3"/>
      <c r="D98" s="3"/>
      <c r="E98" s="3"/>
      <c r="F98" s="3"/>
      <c r="G98" s="3"/>
      <c r="H98" s="3"/>
      <c r="I98" s="3"/>
    </row>
    <row r="99" spans="1:9">
      <c r="A99" s="3"/>
      <c r="B99" s="3"/>
      <c r="C99" s="3"/>
      <c r="D99" s="3"/>
      <c r="E99" s="3"/>
      <c r="F99" s="3"/>
      <c r="G99" s="3"/>
      <c r="H99" s="3"/>
      <c r="I99" s="3"/>
    </row>
    <row r="100" spans="1:9">
      <c r="A100" s="3"/>
      <c r="B100" s="3"/>
      <c r="C100" s="3"/>
      <c r="D100" s="3"/>
      <c r="E100" s="3"/>
      <c r="F100" s="3"/>
      <c r="G100" s="3"/>
      <c r="H100" s="3"/>
      <c r="I100" s="3"/>
    </row>
    <row r="101" spans="1:9">
      <c r="A101" s="3"/>
      <c r="B101" s="3"/>
      <c r="C101" s="3"/>
      <c r="D101" s="3"/>
      <c r="E101" s="3"/>
      <c r="F101" s="3"/>
      <c r="G101" s="3"/>
      <c r="H101" s="3"/>
      <c r="I101" s="3"/>
    </row>
    <row r="102" spans="1:9">
      <c r="A102" s="3"/>
      <c r="B102" s="3"/>
      <c r="C102" s="3"/>
      <c r="D102" s="3"/>
      <c r="E102" s="3"/>
      <c r="F102" s="3"/>
      <c r="G102" s="3"/>
      <c r="H102" s="3"/>
      <c r="I102" s="3"/>
    </row>
    <row r="103" spans="1:9">
      <c r="A103" s="3"/>
      <c r="B103" s="3"/>
      <c r="C103" s="3"/>
      <c r="D103" s="3"/>
      <c r="E103" s="3"/>
      <c r="F103" s="3"/>
      <c r="G103" s="3"/>
      <c r="H103" s="3"/>
      <c r="I103" s="3"/>
    </row>
    <row r="104" spans="1:9">
      <c r="A104" s="3"/>
      <c r="B104" s="3"/>
      <c r="C104" s="3"/>
      <c r="D104" s="3"/>
      <c r="E104" s="3"/>
      <c r="F104" s="3"/>
      <c r="G104" s="3"/>
      <c r="H104" s="3"/>
      <c r="I104" s="3"/>
    </row>
    <row r="105" spans="1:9">
      <c r="A105" s="3"/>
      <c r="B105" s="3"/>
      <c r="C105" s="3"/>
      <c r="D105" s="3"/>
      <c r="E105" s="3"/>
      <c r="F105" s="3"/>
      <c r="G105" s="3"/>
      <c r="H105" s="3"/>
      <c r="I105" s="3"/>
    </row>
    <row r="106" spans="1:9">
      <c r="A106" s="3"/>
      <c r="B106" s="3"/>
      <c r="C106" s="3"/>
      <c r="D106" s="3"/>
      <c r="E106" s="3"/>
      <c r="F106" s="3"/>
      <c r="G106" s="3"/>
      <c r="H106" s="3"/>
      <c r="I106" s="3"/>
    </row>
    <row r="107" spans="1:9">
      <c r="A107" s="3"/>
      <c r="B107" s="3"/>
      <c r="C107" s="3"/>
      <c r="D107" s="3"/>
      <c r="E107" s="3"/>
      <c r="F107" s="3"/>
      <c r="G107" s="3"/>
      <c r="H107" s="3"/>
      <c r="I107" s="3"/>
    </row>
  </sheetData>
  <phoneticPr fontId="0" type="noConversion"/>
  <pageMargins left="0.39370078740157483" right="0.39370078740157483" top="0.78740157480314965" bottom="0.78740157480314965" header="0.51181102362204722" footer="0.51181102362204722"/>
  <pageSetup paperSize="9" orientation="landscape" verticalDpi="300" r:id="rId1"/>
  <headerFooter alignWithMargins="0">
    <oddHeader>&amp;A</oddHeader>
    <oddFooter>Seite 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35"/>
  <sheetViews>
    <sheetView zoomScale="80" zoomScaleNormal="80" workbookViewId="0">
      <selection activeCell="C10" sqref="C10"/>
    </sheetView>
  </sheetViews>
  <sheetFormatPr baseColWidth="10" defaultRowHeight="12.75"/>
  <cols>
    <col min="1" max="1" width="10.5703125" bestFit="1" customWidth="1"/>
    <col min="2" max="2" width="5.5703125" style="14" bestFit="1" customWidth="1"/>
    <col min="3" max="3" width="21.7109375" customWidth="1"/>
    <col min="4" max="4" width="4.7109375" customWidth="1"/>
    <col min="5" max="5" width="21.7109375" customWidth="1"/>
    <col min="6" max="6" width="4.7109375" style="14" customWidth="1"/>
    <col min="7" max="7" width="21.7109375" customWidth="1"/>
    <col min="8" max="8" width="4.7109375" style="14" customWidth="1"/>
    <col min="9" max="9" width="21.7109375" customWidth="1"/>
    <col min="10" max="10" width="4.7109375" style="14" customWidth="1"/>
  </cols>
  <sheetData>
    <row r="1" spans="1:16" ht="18">
      <c r="A1" s="381" t="s">
        <v>245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6">
      <c r="C2" s="56" t="s">
        <v>199</v>
      </c>
      <c r="D2" s="56"/>
      <c r="E2" s="56" t="s">
        <v>200</v>
      </c>
      <c r="G2" s="56" t="s">
        <v>201</v>
      </c>
      <c r="I2" s="56" t="s">
        <v>202</v>
      </c>
    </row>
    <row r="3" spans="1:16" ht="6" customHeight="1">
      <c r="C3" s="56"/>
      <c r="D3" s="56"/>
      <c r="E3" s="56"/>
      <c r="G3" s="56"/>
      <c r="I3" s="56"/>
    </row>
    <row r="4" spans="1:16" ht="15" customHeight="1">
      <c r="C4" s="56"/>
      <c r="D4" s="56"/>
      <c r="E4" s="56"/>
      <c r="G4" s="56"/>
      <c r="I4" s="56"/>
    </row>
    <row r="5" spans="1:16" s="56" customFormat="1" ht="15" customHeight="1">
      <c r="A5" s="14" t="s">
        <v>243</v>
      </c>
      <c r="B5" s="14">
        <v>2014</v>
      </c>
      <c r="C5" s="290" t="s">
        <v>215</v>
      </c>
      <c r="D5" s="13" t="s">
        <v>173</v>
      </c>
      <c r="E5" s="213" t="s">
        <v>217</v>
      </c>
      <c r="F5" s="13" t="s">
        <v>173</v>
      </c>
      <c r="G5" s="213" t="s">
        <v>216</v>
      </c>
      <c r="H5" s="13" t="s">
        <v>164</v>
      </c>
      <c r="I5" s="291" t="s">
        <v>218</v>
      </c>
      <c r="J5" s="214" t="s">
        <v>164</v>
      </c>
    </row>
    <row r="6" spans="1:16" ht="15" customHeight="1">
      <c r="A6" s="14"/>
      <c r="B6" s="14">
        <v>2015</v>
      </c>
      <c r="C6" s="292" t="s">
        <v>248</v>
      </c>
      <c r="D6" s="254" t="s">
        <v>164</v>
      </c>
      <c r="E6" s="292" t="s">
        <v>249</v>
      </c>
      <c r="F6" s="13" t="s">
        <v>164</v>
      </c>
      <c r="G6" s="292" t="s">
        <v>218</v>
      </c>
      <c r="H6" s="214" t="s">
        <v>164</v>
      </c>
      <c r="I6" s="215" t="s">
        <v>250</v>
      </c>
      <c r="J6" s="214" t="s">
        <v>161</v>
      </c>
    </row>
    <row r="7" spans="1:16" ht="15" customHeight="1">
      <c r="A7" s="14"/>
      <c r="B7" s="14">
        <v>2016</v>
      </c>
      <c r="C7" s="227" t="s">
        <v>261</v>
      </c>
      <c r="D7" s="56" t="s">
        <v>173</v>
      </c>
      <c r="E7" s="222" t="s">
        <v>262</v>
      </c>
      <c r="F7" s="14" t="s">
        <v>161</v>
      </c>
      <c r="G7" s="222" t="s">
        <v>263</v>
      </c>
      <c r="H7" s="14" t="s">
        <v>173</v>
      </c>
      <c r="I7" s="224" t="s">
        <v>264</v>
      </c>
      <c r="J7" s="14" t="s">
        <v>161</v>
      </c>
    </row>
    <row r="8" spans="1:16" ht="15" customHeight="1">
      <c r="A8" s="14"/>
      <c r="B8" s="14">
        <v>2017</v>
      </c>
      <c r="C8" s="227" t="s">
        <v>283</v>
      </c>
      <c r="D8" s="56" t="s">
        <v>162</v>
      </c>
      <c r="E8" s="222" t="s">
        <v>284</v>
      </c>
      <c r="F8" s="223" t="s">
        <v>161</v>
      </c>
      <c r="G8" s="222" t="s">
        <v>285</v>
      </c>
      <c r="H8" s="223" t="s">
        <v>173</v>
      </c>
      <c r="I8" s="224" t="s">
        <v>286</v>
      </c>
      <c r="J8" s="14" t="s">
        <v>162</v>
      </c>
    </row>
    <row r="9" spans="1:16" ht="15" customHeight="1">
      <c r="A9" s="14"/>
      <c r="B9" s="14">
        <v>2018</v>
      </c>
      <c r="C9" s="56"/>
      <c r="D9" s="56"/>
      <c r="E9" s="56"/>
      <c r="G9" s="56"/>
      <c r="I9" s="56"/>
    </row>
    <row r="10" spans="1:16" ht="15" customHeight="1">
      <c r="A10" s="14"/>
      <c r="B10" s="14">
        <v>2019</v>
      </c>
      <c r="C10" s="222"/>
      <c r="D10" s="223"/>
      <c r="E10" s="222"/>
      <c r="F10" s="223"/>
      <c r="G10" s="222"/>
      <c r="H10" s="223"/>
      <c r="I10" s="222"/>
    </row>
    <row r="11" spans="1:16" ht="15" customHeight="1">
      <c r="A11" s="14"/>
      <c r="B11" s="14">
        <v>2020</v>
      </c>
      <c r="C11" s="13"/>
      <c r="D11" s="13"/>
      <c r="E11" s="13"/>
      <c r="F11" s="13"/>
      <c r="G11" s="13"/>
      <c r="H11" s="13"/>
      <c r="I11" s="13"/>
    </row>
    <row r="12" spans="1:16" ht="15" customHeight="1">
      <c r="A12" s="14"/>
      <c r="C12" s="13"/>
      <c r="D12" s="13"/>
      <c r="E12" s="13"/>
      <c r="F12" s="13"/>
      <c r="G12" s="13"/>
      <c r="H12" s="13"/>
      <c r="I12" s="13"/>
    </row>
    <row r="13" spans="1:16" ht="15" customHeight="1">
      <c r="A13" s="14" t="s">
        <v>244</v>
      </c>
      <c r="B13" s="14">
        <v>2014</v>
      </c>
      <c r="C13" s="222" t="s">
        <v>219</v>
      </c>
      <c r="D13" s="56" t="s">
        <v>162</v>
      </c>
      <c r="E13" s="222" t="s">
        <v>221</v>
      </c>
      <c r="F13" s="223" t="s">
        <v>156</v>
      </c>
      <c r="G13" s="222" t="s">
        <v>220</v>
      </c>
      <c r="H13" s="223" t="s">
        <v>162</v>
      </c>
      <c r="I13" s="222" t="s">
        <v>222</v>
      </c>
      <c r="J13" s="289" t="s">
        <v>159</v>
      </c>
    </row>
    <row r="14" spans="1:16" ht="15" customHeight="1">
      <c r="A14" s="14"/>
      <c r="B14" s="14">
        <v>2015</v>
      </c>
      <c r="C14" s="292" t="s">
        <v>252</v>
      </c>
      <c r="D14" s="56" t="s">
        <v>152</v>
      </c>
      <c r="E14" s="216" t="s">
        <v>253</v>
      </c>
      <c r="F14" s="14" t="s">
        <v>162</v>
      </c>
      <c r="G14" s="292" t="s">
        <v>251</v>
      </c>
      <c r="H14" s="61" t="s">
        <v>161</v>
      </c>
      <c r="I14" s="216" t="s">
        <v>254</v>
      </c>
      <c r="J14" s="14" t="s">
        <v>159</v>
      </c>
    </row>
    <row r="15" spans="1:16" ht="15" customHeight="1">
      <c r="A15" s="14"/>
      <c r="B15" s="14">
        <v>2016</v>
      </c>
      <c r="C15" s="222" t="s">
        <v>265</v>
      </c>
      <c r="D15" s="56" t="s">
        <v>161</v>
      </c>
      <c r="E15" s="222" t="s">
        <v>266</v>
      </c>
      <c r="F15" s="14" t="s">
        <v>161</v>
      </c>
      <c r="G15" s="222" t="s">
        <v>267</v>
      </c>
      <c r="H15" s="14" t="s">
        <v>152</v>
      </c>
      <c r="I15" s="222" t="s">
        <v>268</v>
      </c>
      <c r="J15" s="14" t="s">
        <v>269</v>
      </c>
    </row>
    <row r="16" spans="1:16" ht="15" customHeight="1">
      <c r="A16" s="14"/>
      <c r="B16" s="14">
        <v>2017</v>
      </c>
      <c r="C16" s="222" t="s">
        <v>287</v>
      </c>
      <c r="D16" s="13" t="s">
        <v>157</v>
      </c>
      <c r="E16" s="222" t="s">
        <v>289</v>
      </c>
      <c r="F16" s="223" t="s">
        <v>164</v>
      </c>
      <c r="G16" s="222" t="s">
        <v>288</v>
      </c>
      <c r="H16" s="223" t="s">
        <v>157</v>
      </c>
      <c r="I16" s="222" t="s">
        <v>290</v>
      </c>
      <c r="J16" s="14" t="s">
        <v>161</v>
      </c>
      <c r="O16" s="293"/>
      <c r="P16" s="292"/>
    </row>
    <row r="17" spans="1:17" ht="15" customHeight="1">
      <c r="A17" s="14"/>
      <c r="B17" s="14">
        <v>2018</v>
      </c>
      <c r="C17" s="13"/>
      <c r="D17" s="13"/>
      <c r="E17" s="13"/>
      <c r="F17" s="13"/>
      <c r="G17" s="13"/>
      <c r="H17" s="13"/>
      <c r="I17" s="13"/>
      <c r="O17" s="294"/>
      <c r="P17" s="292"/>
    </row>
    <row r="18" spans="1:17" ht="15" customHeight="1">
      <c r="A18" s="14"/>
      <c r="B18" s="14">
        <v>2019</v>
      </c>
      <c r="C18" s="56"/>
      <c r="D18" s="56"/>
      <c r="E18" s="56"/>
      <c r="G18" s="56"/>
      <c r="I18" s="56"/>
      <c r="O18" s="293"/>
      <c r="P18" s="216"/>
    </row>
    <row r="19" spans="1:17" ht="15" customHeight="1">
      <c r="A19" s="14"/>
      <c r="B19" s="14">
        <v>2020</v>
      </c>
      <c r="C19" s="221"/>
      <c r="D19" s="56"/>
      <c r="E19" s="56"/>
      <c r="G19" s="56"/>
      <c r="I19" s="56"/>
      <c r="O19" s="293"/>
      <c r="P19" s="216"/>
    </row>
    <row r="20" spans="1:17" ht="15" customHeight="1">
      <c r="A20" s="14"/>
      <c r="C20" s="221"/>
      <c r="D20" s="56"/>
      <c r="E20" s="56"/>
      <c r="G20" s="56"/>
      <c r="I20" s="56"/>
    </row>
    <row r="21" spans="1:17" ht="15" customHeight="1">
      <c r="A21" s="14" t="s">
        <v>246</v>
      </c>
      <c r="B21" s="14">
        <v>2014</v>
      </c>
      <c r="C21" s="222" t="s">
        <v>223</v>
      </c>
      <c r="D21" s="13" t="s">
        <v>156</v>
      </c>
      <c r="E21" s="222" t="s">
        <v>225</v>
      </c>
      <c r="F21" s="223" t="s">
        <v>152</v>
      </c>
      <c r="G21" s="222" t="s">
        <v>224</v>
      </c>
      <c r="H21" s="223" t="s">
        <v>161</v>
      </c>
      <c r="I21" s="222" t="s">
        <v>226</v>
      </c>
      <c r="J21" s="289" t="s">
        <v>161</v>
      </c>
    </row>
    <row r="22" spans="1:17" ht="15" customHeight="1">
      <c r="A22" s="14"/>
      <c r="B22" s="14">
        <v>2015</v>
      </c>
      <c r="C22" s="292" t="s">
        <v>255</v>
      </c>
      <c r="D22" s="13" t="s">
        <v>161</v>
      </c>
      <c r="E22" s="216" t="s">
        <v>256</v>
      </c>
      <c r="F22" s="223" t="s">
        <v>173</v>
      </c>
      <c r="G22" s="292" t="s">
        <v>224</v>
      </c>
      <c r="H22" s="223" t="s">
        <v>161</v>
      </c>
      <c r="I22" s="216" t="s">
        <v>257</v>
      </c>
      <c r="J22" s="289" t="s">
        <v>152</v>
      </c>
    </row>
    <row r="23" spans="1:17" ht="15" customHeight="1">
      <c r="A23" s="14"/>
      <c r="B23" s="14">
        <v>2016</v>
      </c>
      <c r="C23" s="222" t="s">
        <v>217</v>
      </c>
      <c r="D23" s="56" t="s">
        <v>173</v>
      </c>
      <c r="E23" s="222" t="s">
        <v>249</v>
      </c>
      <c r="F23" s="14" t="s">
        <v>164</v>
      </c>
      <c r="G23" s="222" t="s">
        <v>270</v>
      </c>
      <c r="H23" s="14" t="s">
        <v>173</v>
      </c>
      <c r="I23" s="222" t="s">
        <v>271</v>
      </c>
      <c r="J23" s="14" t="s">
        <v>157</v>
      </c>
    </row>
    <row r="24" spans="1:17" ht="15" customHeight="1">
      <c r="A24" s="14"/>
      <c r="B24" s="14">
        <v>2017</v>
      </c>
      <c r="C24" s="222" t="s">
        <v>217</v>
      </c>
      <c r="D24" s="13" t="s">
        <v>173</v>
      </c>
      <c r="E24" s="222" t="s">
        <v>249</v>
      </c>
      <c r="F24" s="223" t="s">
        <v>164</v>
      </c>
      <c r="G24" s="222" t="s">
        <v>270</v>
      </c>
      <c r="H24" s="223" t="s">
        <v>157</v>
      </c>
      <c r="I24" s="222" t="s">
        <v>291</v>
      </c>
      <c r="J24" s="14" t="s">
        <v>161</v>
      </c>
    </row>
    <row r="25" spans="1:17" ht="15" customHeight="1">
      <c r="A25" s="14"/>
      <c r="B25" s="14">
        <v>2018</v>
      </c>
      <c r="C25" s="13"/>
      <c r="D25" s="13"/>
      <c r="E25" s="13"/>
      <c r="F25" s="13"/>
      <c r="G25" s="13"/>
      <c r="H25" s="13"/>
      <c r="I25" s="214"/>
    </row>
    <row r="26" spans="1:17" ht="15" customHeight="1">
      <c r="A26" s="14"/>
      <c r="B26" s="14">
        <v>2019</v>
      </c>
    </row>
    <row r="27" spans="1:17" ht="15" customHeight="1">
      <c r="A27" s="14"/>
      <c r="B27" s="14">
        <v>2020</v>
      </c>
      <c r="P27" s="293"/>
      <c r="Q27" s="215"/>
    </row>
    <row r="28" spans="1:17" ht="15" customHeight="1">
      <c r="A28" s="14"/>
      <c r="P28" s="294"/>
      <c r="Q28" s="216"/>
    </row>
    <row r="29" spans="1:17" ht="15" customHeight="1">
      <c r="A29" s="14" t="s">
        <v>247</v>
      </c>
      <c r="B29" s="14">
        <v>2014</v>
      </c>
      <c r="C29" s="224" t="s">
        <v>231</v>
      </c>
      <c r="D29" s="225" t="s">
        <v>164</v>
      </c>
      <c r="E29" s="222" t="s">
        <v>233</v>
      </c>
      <c r="F29" s="225" t="s">
        <v>173</v>
      </c>
      <c r="G29" s="222" t="s">
        <v>232</v>
      </c>
      <c r="H29" s="225" t="s">
        <v>173</v>
      </c>
      <c r="I29" s="222" t="s">
        <v>234</v>
      </c>
      <c r="J29" s="225" t="s">
        <v>162</v>
      </c>
      <c r="P29" s="293"/>
      <c r="Q29" s="216"/>
    </row>
    <row r="30" spans="1:17" ht="15" customHeight="1">
      <c r="B30" s="14">
        <v>2015</v>
      </c>
      <c r="C30" s="215" t="s">
        <v>258</v>
      </c>
      <c r="D30" s="225" t="s">
        <v>156</v>
      </c>
      <c r="E30" s="216" t="s">
        <v>231</v>
      </c>
      <c r="F30" s="225" t="s">
        <v>164</v>
      </c>
      <c r="G30" s="216" t="s">
        <v>259</v>
      </c>
      <c r="H30" s="225" t="s">
        <v>156</v>
      </c>
      <c r="I30" s="216" t="s">
        <v>260</v>
      </c>
      <c r="J30" s="225" t="s">
        <v>161</v>
      </c>
      <c r="P30" s="293"/>
      <c r="Q30" s="216"/>
    </row>
    <row r="31" spans="1:17" ht="15">
      <c r="B31" s="14">
        <v>2016</v>
      </c>
      <c r="C31" s="224" t="s">
        <v>272</v>
      </c>
      <c r="D31" s="56" t="s">
        <v>152</v>
      </c>
      <c r="E31" s="222" t="s">
        <v>273</v>
      </c>
      <c r="F31" s="14" t="s">
        <v>152</v>
      </c>
      <c r="G31" s="222" t="s">
        <v>274</v>
      </c>
      <c r="H31" s="14" t="s">
        <v>161</v>
      </c>
      <c r="I31" s="222" t="s">
        <v>260</v>
      </c>
      <c r="J31" s="14" t="s">
        <v>161</v>
      </c>
    </row>
    <row r="32" spans="1:17" ht="15">
      <c r="B32" s="14">
        <v>2017</v>
      </c>
      <c r="C32" s="224" t="s">
        <v>292</v>
      </c>
      <c r="D32" s="225" t="s">
        <v>161</v>
      </c>
      <c r="E32" s="222" t="s">
        <v>231</v>
      </c>
      <c r="F32" s="225" t="s">
        <v>164</v>
      </c>
      <c r="G32" s="222" t="s">
        <v>274</v>
      </c>
      <c r="H32" s="225" t="s">
        <v>161</v>
      </c>
      <c r="I32" s="222" t="s">
        <v>293</v>
      </c>
      <c r="J32" s="14" t="s">
        <v>161</v>
      </c>
    </row>
    <row r="33" spans="2:9">
      <c r="B33" s="14">
        <v>2018</v>
      </c>
      <c r="C33" s="214"/>
      <c r="D33" s="56"/>
      <c r="E33" s="214"/>
      <c r="F33" s="56"/>
      <c r="G33" s="214"/>
      <c r="H33" s="56"/>
      <c r="I33" s="214"/>
    </row>
    <row r="34" spans="2:9">
      <c r="B34" s="14">
        <v>2019</v>
      </c>
    </row>
    <row r="35" spans="2:9">
      <c r="B35" s="14">
        <v>2020</v>
      </c>
    </row>
  </sheetData>
  <mergeCells count="1">
    <mergeCell ref="A1:J1"/>
  </mergeCells>
  <printOptions horizontalCentered="1"/>
  <pageMargins left="0.70866141732283472" right="0.70866141732283472" top="0.39370078740157483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T65"/>
  <sheetViews>
    <sheetView showGridLines="0" topLeftCell="B30" zoomScale="90" zoomScaleNormal="90" workbookViewId="0">
      <selection activeCell="S66" sqref="S66"/>
    </sheetView>
  </sheetViews>
  <sheetFormatPr baseColWidth="10" defaultRowHeight="12.75" outlineLevelRow="1" outlineLevelCol="1"/>
  <cols>
    <col min="1" max="1" width="3" style="34" hidden="1" customWidth="1" outlineLevel="1"/>
    <col min="2" max="2" width="2" style="34" customWidth="1" collapsed="1"/>
    <col min="3" max="3" width="6.85546875" style="34" customWidth="1"/>
    <col min="4" max="4" width="24.7109375" style="34" customWidth="1"/>
    <col min="5" max="5" width="4" style="34" customWidth="1"/>
    <col min="6" max="6" width="1.7109375" style="34" customWidth="1"/>
    <col min="7" max="8" width="4" style="34" customWidth="1"/>
    <col min="9" max="9" width="1.7109375" style="34" customWidth="1"/>
    <col min="10" max="11" width="4" style="34" customWidth="1"/>
    <col min="12" max="12" width="1.7109375" style="34" customWidth="1"/>
    <col min="13" max="14" width="4" style="34" customWidth="1"/>
    <col min="15" max="15" width="1.7109375" style="34" customWidth="1"/>
    <col min="16" max="17" width="4" style="34" customWidth="1"/>
    <col min="18" max="18" width="1.7109375" style="34" customWidth="1"/>
    <col min="19" max="20" width="4" style="34" customWidth="1"/>
    <col min="21" max="21" width="1.7109375" style="34" customWidth="1"/>
    <col min="22" max="22" width="4" style="34" customWidth="1"/>
    <col min="23" max="23" width="4.7109375" style="34" customWidth="1"/>
    <col min="24" max="24" width="6.5703125" style="34" hidden="1" customWidth="1" outlineLevel="1"/>
    <col min="25" max="25" width="4" style="34" customWidth="1" collapsed="1"/>
    <col min="26" max="26" width="4.85546875" style="34" customWidth="1"/>
    <col min="27" max="27" width="1.7109375" style="34" customWidth="1"/>
    <col min="28" max="28" width="4" style="34" customWidth="1"/>
    <col min="29" max="29" width="24" style="34" bestFit="1" customWidth="1"/>
    <col min="30" max="30" width="4.7109375" style="34" customWidth="1"/>
    <col min="31" max="31" width="24" style="34" bestFit="1" customWidth="1"/>
    <col min="32" max="32" width="3" style="34" bestFit="1" customWidth="1"/>
    <col min="33" max="33" width="1.28515625" style="34" customWidth="1"/>
    <col min="34" max="35" width="3" style="34" bestFit="1" customWidth="1"/>
    <col min="36" max="36" width="1.28515625" style="34" customWidth="1"/>
    <col min="37" max="38" width="3" style="34" bestFit="1" customWidth="1"/>
    <col min="39" max="39" width="1.28515625" style="34" customWidth="1"/>
    <col min="40" max="41" width="3" style="34" bestFit="1" customWidth="1"/>
    <col min="42" max="42" width="1.28515625" style="34" customWidth="1"/>
    <col min="43" max="44" width="3" style="34" bestFit="1" customWidth="1"/>
    <col min="45" max="45" width="4.7109375" style="34" customWidth="1"/>
    <col min="46" max="47" width="3" style="34" bestFit="1" customWidth="1"/>
    <col min="48" max="48" width="1.28515625" style="34" customWidth="1"/>
    <col min="49" max="49" width="3" style="34" bestFit="1" customWidth="1"/>
    <col min="50" max="16384" width="11.42578125" style="34"/>
  </cols>
  <sheetData>
    <row r="1" spans="1:31" ht="24.95" customHeight="1">
      <c r="B1" s="183"/>
      <c r="C1" s="189" t="str">
        <f>Daten!A1&amp;" "&amp;Daten!B1&amp;" "&amp;Daten!L1</f>
        <v>35. Deutschlandpokal der Jugend 2018</v>
      </c>
      <c r="D1" s="184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31" ht="21.75" customHeight="1">
      <c r="C2" s="68"/>
      <c r="D2" s="69" t="s">
        <v>27</v>
      </c>
      <c r="E2" s="70"/>
      <c r="F2" s="71"/>
      <c r="G2" s="70"/>
      <c r="H2" s="53"/>
      <c r="I2" s="53"/>
      <c r="J2" s="53"/>
      <c r="K2" s="72"/>
      <c r="L2" s="53"/>
      <c r="M2" s="53"/>
      <c r="N2" s="53"/>
      <c r="O2" s="53"/>
      <c r="P2" s="53"/>
      <c r="Q2" s="370" t="str">
        <f>+Daten!C3</f>
        <v>weibl. Jgd. 11-14</v>
      </c>
      <c r="R2" s="371"/>
      <c r="S2" s="371"/>
      <c r="T2" s="371"/>
      <c r="U2" s="371"/>
      <c r="V2" s="371"/>
      <c r="W2" s="372"/>
    </row>
    <row r="3" spans="1:31" ht="6.75" customHeight="1">
      <c r="C3" s="73"/>
      <c r="D3" s="53"/>
      <c r="E3" s="70"/>
      <c r="F3" s="71"/>
      <c r="G3" s="70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73"/>
      <c r="T3" s="53"/>
      <c r="U3" s="53"/>
      <c r="V3" s="53"/>
      <c r="W3" s="53"/>
    </row>
    <row r="4" spans="1:31" ht="21.75" hidden="1" customHeight="1" outlineLevel="1">
      <c r="A4" s="34" t="s">
        <v>140</v>
      </c>
      <c r="C4" s="74"/>
      <c r="D4" s="75"/>
      <c r="E4" s="70"/>
      <c r="F4" s="53">
        <v>1</v>
      </c>
      <c r="G4" s="70"/>
      <c r="H4" s="53"/>
      <c r="I4" s="53">
        <v>2</v>
      </c>
      <c r="J4" s="53"/>
      <c r="K4" s="53"/>
      <c r="L4" s="53">
        <v>3</v>
      </c>
      <c r="M4" s="53"/>
      <c r="N4" s="53"/>
      <c r="O4" s="53">
        <v>4</v>
      </c>
      <c r="P4" s="53"/>
      <c r="Q4" s="53"/>
      <c r="R4" s="53">
        <v>5</v>
      </c>
      <c r="S4" s="74"/>
      <c r="T4" s="75"/>
      <c r="U4" s="75"/>
      <c r="V4" s="75"/>
      <c r="W4" s="75"/>
    </row>
    <row r="5" spans="1:31" ht="12.75" customHeight="1" collapsed="1">
      <c r="C5" s="76"/>
      <c r="D5" s="77" t="str">
        <f>+Daten!C4</f>
        <v>Gruppe A</v>
      </c>
      <c r="E5" s="78"/>
      <c r="F5" s="79" t="str">
        <f>+D6</f>
        <v>Westfalen</v>
      </c>
      <c r="G5" s="80"/>
      <c r="H5" s="81"/>
      <c r="I5" s="82" t="str">
        <f>+D8</f>
        <v>Baden</v>
      </c>
      <c r="J5" s="83"/>
      <c r="K5" s="84"/>
      <c r="L5" s="82" t="str">
        <f>+D10</f>
        <v>Niedersachsen</v>
      </c>
      <c r="M5" s="83"/>
      <c r="N5" s="84"/>
      <c r="O5" s="82" t="str">
        <f>+D12</f>
        <v>Pfalz</v>
      </c>
      <c r="P5" s="83"/>
      <c r="Q5" s="84"/>
      <c r="R5" s="85" t="str">
        <f>+D14</f>
        <v>Rheinland</v>
      </c>
      <c r="S5" s="83"/>
      <c r="T5" s="81"/>
      <c r="U5" s="86" t="s">
        <v>12</v>
      </c>
      <c r="V5" s="87"/>
      <c r="W5" s="88" t="s">
        <v>13</v>
      </c>
    </row>
    <row r="6" spans="1:31" ht="15.2" customHeight="1">
      <c r="A6" s="34">
        <v>1</v>
      </c>
      <c r="C6" s="89" t="str">
        <f>IF(Daten!B5="","",Daten!B5)</f>
        <v/>
      </c>
      <c r="D6" s="90" t="str">
        <f>IF(Daten!C5="","",Daten!C5)</f>
        <v>Westfalen</v>
      </c>
      <c r="E6" s="91"/>
      <c r="F6" s="92"/>
      <c r="G6" s="93"/>
      <c r="H6" s="94">
        <f>IF(ISERROR(VLOOKUP($A$4&amp;TEXT($A6,"00")&amp;TEXT(I$4,"00"),Samstag!$B$24:$S$162,16,FALSE)),"",VLOOKUP($A$4&amp;TEXT($A6,"00")&amp;TEXT(I$4,"00"),Samstag!$B$24:$S$162,16,FALSE))</f>
        <v>46</v>
      </c>
      <c r="I6" s="49" t="s">
        <v>15</v>
      </c>
      <c r="J6" s="95">
        <f>IF(ISERROR(VLOOKUP($A$4&amp;TEXT($A6,"00")&amp;TEXT(I$4,"00"),Samstag!$B$24:$S$162,18,FALSE)),"",VLOOKUP($A$4&amp;TEXT($A6,"00")&amp;TEXT(I$4,"00"),Samstag!$B$24:$S$162,18,FALSE))</f>
        <v>21</v>
      </c>
      <c r="K6" s="94">
        <f>IF(ISERROR(VLOOKUP($A$4&amp;TEXT($A6,"00")&amp;TEXT(L$4,"00"),Samstag!$B$24:$S$162,16,FALSE)),"",VLOOKUP($A$4&amp;TEXT($A6,"00")&amp;TEXT(L$4,"00"),Samstag!$B$24:$S$162,16,FALSE))</f>
        <v>35</v>
      </c>
      <c r="L6" s="49" t="s">
        <v>15</v>
      </c>
      <c r="M6" s="95">
        <f>IF(ISERROR(VLOOKUP($A$4&amp;TEXT($A6,"00")&amp;TEXT(L$4,"00"),Samstag!$B$24:$S$162,18,FALSE)),"",VLOOKUP($A$4&amp;TEXT($A6,"00")&amp;TEXT(L$4,"00"),Samstag!$B$24:$S$162,18,FALSE))</f>
        <v>26</v>
      </c>
      <c r="N6" s="94">
        <f>IF(ISERROR(VLOOKUP($A$4&amp;TEXT($A6,"00")&amp;TEXT(O$4,"00"),Samstag!$B$24:$S$162,16,FALSE)),"",VLOOKUP($A$4&amp;TEXT($A6,"00")&amp;TEXT(O$4,"00"),Samstag!$B$24:$S$162,16,FALSE))</f>
        <v>38</v>
      </c>
      <c r="O6" s="49" t="s">
        <v>15</v>
      </c>
      <c r="P6" s="95">
        <f>IF(ISERROR(VLOOKUP($A$4&amp;TEXT($A6,"00")&amp;TEXT(O$4,"00"),Samstag!$B$24:$S$162,18,FALSE)),"",VLOOKUP($A$4&amp;TEXT($A6,"00")&amp;TEXT(O$4,"00"),Samstag!$B$24:$S$162,18,FALSE))</f>
        <v>25</v>
      </c>
      <c r="Q6" s="94">
        <f>IF(ISERROR(VLOOKUP($A$4&amp;TEXT($A6,"00")&amp;TEXT(R$4,"00"),Samstag!$B$24:$S$162,16,FALSE)),"",VLOOKUP($A$4&amp;TEXT($A6,"00")&amp;TEXT(R$4,"00"),Samstag!$B$24:$S$162,16,FALSE))</f>
        <v>37</v>
      </c>
      <c r="R6" s="49" t="s">
        <v>15</v>
      </c>
      <c r="S6" s="95">
        <f>IF(ISERROR(VLOOKUP($A$4&amp;TEXT($A6,"00")&amp;TEXT(R$4,"00"),Samstag!$B$24:$S$162,18,FALSE)),"",VLOOKUP($A$4&amp;TEXT($A6,"00")&amp;TEXT(R$4,"00"),Samstag!$B$24:$S$162,18,FALSE))</f>
        <v>19</v>
      </c>
      <c r="T6" s="96">
        <f>IF(Y7="","",SUM(E6,H6,K6,N6,Q6))</f>
        <v>156</v>
      </c>
      <c r="U6" s="49" t="s">
        <v>15</v>
      </c>
      <c r="V6" s="97">
        <f>IF(Y7="","",SUM(G6,J6,M6,P6,S6))</f>
        <v>91</v>
      </c>
      <c r="W6" s="98">
        <f>IF(Y6="","",RANK(X7,($X$7,$X$9,$X$11,$X$13,$X$15),0))</f>
        <v>1</v>
      </c>
      <c r="Y6" s="99" t="s">
        <v>17</v>
      </c>
      <c r="AB6" s="34">
        <v>1</v>
      </c>
      <c r="AC6" s="100" t="str">
        <f>IF(W6="","",IF($W$6=1,$D$6,IF($W$8=1,$D$8,IF($W$10=1,$D$10,IF($W$12=1,$D$12,IF($W$14=1,$D$14,0))))))</f>
        <v>Westfalen</v>
      </c>
      <c r="AD6" s="101"/>
      <c r="AE6" s="101"/>
    </row>
    <row r="7" spans="1:31" ht="11.1" customHeight="1">
      <c r="C7" s="111"/>
      <c r="D7" s="185"/>
      <c r="E7" s="103"/>
      <c r="F7" s="104"/>
      <c r="G7" s="105"/>
      <c r="H7" s="106">
        <f>IF(OR(H6="",H6=0),"",IF(H6&gt;J6,2,IF(H6&lt;J6,0,1)))</f>
        <v>2</v>
      </c>
      <c r="I7" s="40" t="s">
        <v>16</v>
      </c>
      <c r="J7" s="107">
        <f>IF(OR(J6="",J6=0),"",IF(J6&gt;H6,2,IF(J6&lt;H6,0,1)))</f>
        <v>0</v>
      </c>
      <c r="K7" s="106">
        <f>IF(OR(K6="",K6=0),"",IF(K6&gt;M6,2,IF(K6&lt;M6,0,1)))</f>
        <v>2</v>
      </c>
      <c r="L7" s="40" t="s">
        <v>16</v>
      </c>
      <c r="M7" s="107">
        <f>IF(OR(M6="",M6=0),"",IF(M6&gt;K6,2,IF(M6&lt;K6,0,1)))</f>
        <v>0</v>
      </c>
      <c r="N7" s="106">
        <f>IF(OR(N6="",N6=0),"",IF(N6&gt;P6,2,IF(N6&lt;P6,0,1)))</f>
        <v>2</v>
      </c>
      <c r="O7" s="40" t="s">
        <v>16</v>
      </c>
      <c r="P7" s="107">
        <f>IF(OR(P6="",P6=0),"",IF(P6&gt;N6,2,IF(P6&lt;N6,0,1)))</f>
        <v>0</v>
      </c>
      <c r="Q7" s="106">
        <f>IF(OR(Q6="",Q6=0),"",IF(Q6&gt;S6,2,IF(Q6&lt;S6,0,1)))</f>
        <v>2</v>
      </c>
      <c r="R7" s="40" t="s">
        <v>16</v>
      </c>
      <c r="S7" s="107">
        <f>IF(OR(S6="",S6=0),"",IF(S6&gt;Q6,2,IF(S6&lt;Q6,0,1)))</f>
        <v>0</v>
      </c>
      <c r="T7" s="106">
        <f>IF(Y7="","",SUM(E7,H7,K7,N7,Q7))</f>
        <v>8</v>
      </c>
      <c r="U7" s="40" t="s">
        <v>16</v>
      </c>
      <c r="V7" s="107">
        <f>IF(Y7="","",SUM(G7,J7,M7,P7,S7))</f>
        <v>0</v>
      </c>
      <c r="W7" s="108"/>
      <c r="X7" s="109">
        <f>+(T7-V7)+T6/V6+T7</f>
        <v>17.714285714285715</v>
      </c>
      <c r="Y7" s="99" t="s">
        <v>17</v>
      </c>
      <c r="AC7" s="100"/>
    </row>
    <row r="8" spans="1:31" ht="15.2" customHeight="1">
      <c r="A8" s="34">
        <v>2</v>
      </c>
      <c r="C8" s="89" t="str">
        <f>IF(Daten!B6="","",Daten!B6)</f>
        <v/>
      </c>
      <c r="D8" s="90" t="str">
        <f>IF(Daten!C6="","",Daten!C6)</f>
        <v>Baden</v>
      </c>
      <c r="E8" s="94">
        <f>IF(J6="","",J6)</f>
        <v>21</v>
      </c>
      <c r="F8" s="49" t="s">
        <v>15</v>
      </c>
      <c r="G8" s="95">
        <f>IF(H6="","",H6)</f>
        <v>46</v>
      </c>
      <c r="H8" s="91"/>
      <c r="I8" s="92"/>
      <c r="J8" s="93"/>
      <c r="K8" s="94">
        <f>IF(ISERROR(VLOOKUP($A$4&amp;TEXT($A8,"00")&amp;TEXT(L$4,"00"),Samstag!$B$24:$S$162,16,FALSE)),"",VLOOKUP($A$4&amp;TEXT($A8,"00")&amp;TEXT(L$4,"00"),Samstag!$B$24:$S$162,16,FALSE))</f>
        <v>22</v>
      </c>
      <c r="L8" s="49" t="s">
        <v>15</v>
      </c>
      <c r="M8" s="95">
        <f>IF(ISERROR(VLOOKUP($A$4&amp;TEXT($A8,"00")&amp;TEXT(L$4,"00"),Samstag!$B$24:$S$162,18,FALSE)),"",VLOOKUP($A$4&amp;TEXT($A8,"00")&amp;TEXT(L$4,"00"),Samstag!$B$24:$S$162,18,FALSE))</f>
        <v>46</v>
      </c>
      <c r="N8" s="94">
        <f>IF(ISERROR(VLOOKUP($A$4&amp;TEXT($A8,"00")&amp;TEXT(O$4,"00"),Samstag!$B$24:$S$162,16,FALSE)),"",VLOOKUP($A$4&amp;TEXT($A8,"00")&amp;TEXT(O$4,"00"),Samstag!$B$24:$S$162,16,FALSE))</f>
        <v>45</v>
      </c>
      <c r="O8" s="49" t="s">
        <v>15</v>
      </c>
      <c r="P8" s="95">
        <f>IF(ISERROR(VLOOKUP($A$4&amp;TEXT($A8,"00")&amp;TEXT(O$4,"00"),Samstag!$B$24:$S$162,18,FALSE)),"",VLOOKUP($A$4&amp;TEXT($A8,"00")&amp;TEXT(O$4,"00"),Samstag!$B$24:$S$162,18,FALSE))</f>
        <v>23</v>
      </c>
      <c r="Q8" s="94">
        <f>IF(ISERROR(VLOOKUP($A$4&amp;TEXT($A8,"00")&amp;TEXT(R$4,"00"),Samstag!$B$24:$S$162,16,FALSE)),"",VLOOKUP($A$4&amp;TEXT($A8,"00")&amp;TEXT(R$4,"00"),Samstag!$B$24:$S$162,16,FALSE))</f>
        <v>32</v>
      </c>
      <c r="R8" s="49" t="s">
        <v>15</v>
      </c>
      <c r="S8" s="95">
        <f>IF(ISERROR(VLOOKUP($A$4&amp;TEXT($A8,"00")&amp;TEXT(R$4,"00"),Samstag!$B$24:$S$162,18,FALSE)),"",VLOOKUP($A$4&amp;TEXT($A8,"00")&amp;TEXT(R$4,"00"),Samstag!$B$24:$S$162,18,FALSE))</f>
        <v>25</v>
      </c>
      <c r="T8" s="96">
        <f>IF(Y9="","",SUM(E8,H8,K8,N8,Q8))</f>
        <v>120</v>
      </c>
      <c r="U8" s="49" t="s">
        <v>15</v>
      </c>
      <c r="V8" s="97">
        <f>IF(Y9="","",SUM(G8,J8,M8,P8,S8))</f>
        <v>140</v>
      </c>
      <c r="W8" s="98">
        <f>IF(Y8="","",RANK(X9,($X$7,$X$9,$X$11,$X$13,$X$15),0))</f>
        <v>3</v>
      </c>
      <c r="Y8" s="99" t="s">
        <v>17</v>
      </c>
      <c r="AB8" s="34">
        <v>2</v>
      </c>
      <c r="AC8" s="100" t="str">
        <f>IF(W8="","",IF($W$6=2,$D$6,IF($W$8=2,$D$8,IF($W$10=2,$D$10,IF($W$12=2,$D$12,IF($W$14=2,$D$14,0))))))</f>
        <v>Niedersachsen</v>
      </c>
      <c r="AD8" s="101"/>
      <c r="AE8" s="101"/>
    </row>
    <row r="9" spans="1:31" ht="11.1" customHeight="1">
      <c r="C9" s="102"/>
      <c r="D9" s="54"/>
      <c r="E9" s="106">
        <f>IF(OR(E8="",E8=0),"",IF(E8&gt;G8,2,IF(E8&lt;G8,0,1)))</f>
        <v>0</v>
      </c>
      <c r="F9" s="40" t="s">
        <v>16</v>
      </c>
      <c r="G9" s="107">
        <f>IF(OR(G8="",G8=0),"",IF(G8&gt;E8,2,IF(G8&lt;E8,0,1)))</f>
        <v>2</v>
      </c>
      <c r="H9" s="103"/>
      <c r="I9" s="104"/>
      <c r="J9" s="105"/>
      <c r="K9" s="106">
        <f>IF(OR(K8="",K8=0),"",IF(K8&gt;M8,2,IF(K8&lt;M8,0,1)))</f>
        <v>0</v>
      </c>
      <c r="L9" s="40" t="s">
        <v>16</v>
      </c>
      <c r="M9" s="107">
        <f>IF(OR(M8="",M8=0),"",IF(M8&gt;K8,2,IF(M8&lt;K8,0,1)))</f>
        <v>2</v>
      </c>
      <c r="N9" s="106">
        <f>IF(OR(N8="",N8=0),"",IF(N8&gt;P8,2,IF(N8&lt;P8,0,1)))</f>
        <v>2</v>
      </c>
      <c r="O9" s="40" t="s">
        <v>16</v>
      </c>
      <c r="P9" s="107">
        <f>IF(OR(P8="",P8=0),"",IF(P8&gt;N8,2,IF(P8&lt;N8,0,1)))</f>
        <v>0</v>
      </c>
      <c r="Q9" s="106">
        <f>IF(OR(Q8="",Q8=0),"",IF(Q8&gt;S8,2,IF(Q8&lt;S8,0,1)))</f>
        <v>2</v>
      </c>
      <c r="R9" s="40" t="s">
        <v>16</v>
      </c>
      <c r="S9" s="107">
        <f>IF(OR(S8="",S8=0),"",IF(S8&gt;Q8,2,IF(S8&lt;Q8,0,1)))</f>
        <v>0</v>
      </c>
      <c r="T9" s="106">
        <f>IF(Y9="","",SUM(E9,H9,K9,N9,Q9))</f>
        <v>4</v>
      </c>
      <c r="U9" s="40" t="s">
        <v>16</v>
      </c>
      <c r="V9" s="107">
        <f>IF(Y9="","",SUM(G9,J9,M9,P9,S9))</f>
        <v>4</v>
      </c>
      <c r="W9" s="108"/>
      <c r="X9" s="109">
        <f>+(T9-V9)+T8/V8+T9</f>
        <v>4.8571428571428568</v>
      </c>
      <c r="Y9" s="99" t="s">
        <v>17</v>
      </c>
      <c r="AC9" s="100"/>
    </row>
    <row r="10" spans="1:31" ht="15.2" customHeight="1">
      <c r="A10" s="34">
        <v>3</v>
      </c>
      <c r="C10" s="89" t="str">
        <f>IF(Daten!B7="","",Daten!B7)</f>
        <v/>
      </c>
      <c r="D10" s="90" t="str">
        <f>IF(Daten!C7="","",Daten!C7)</f>
        <v>Niedersachsen</v>
      </c>
      <c r="E10" s="94">
        <f>IF(M6="","",M6)</f>
        <v>26</v>
      </c>
      <c r="F10" s="49" t="s">
        <v>15</v>
      </c>
      <c r="G10" s="95">
        <f>IF(K6="","",K6)</f>
        <v>35</v>
      </c>
      <c r="H10" s="94">
        <f>IF(M8="","",M8)</f>
        <v>46</v>
      </c>
      <c r="I10" s="49" t="s">
        <v>15</v>
      </c>
      <c r="J10" s="95">
        <f>IF(K8="","",K8)</f>
        <v>22</v>
      </c>
      <c r="K10" s="91"/>
      <c r="L10" s="92"/>
      <c r="M10" s="93"/>
      <c r="N10" s="94">
        <f>IF(ISERROR(VLOOKUP($A$4&amp;TEXT($A10,"00")&amp;TEXT(O$4,"00"),Samstag!$B$24:$S$162,16,FALSE)),"",VLOOKUP($A$4&amp;TEXT($A10,"00")&amp;TEXT(O$4,"00"),Samstag!$B$24:$S$162,16,FALSE))</f>
        <v>46</v>
      </c>
      <c r="O10" s="49" t="s">
        <v>15</v>
      </c>
      <c r="P10" s="95">
        <f>IF(ISERROR(VLOOKUP($A$4&amp;TEXT($A10,"00")&amp;TEXT(O$4,"00"),Samstag!$B$24:$S$162,18,FALSE)),"",VLOOKUP($A$4&amp;TEXT($A10,"00")&amp;TEXT(O$4,"00"),Samstag!$B$24:$S$162,18,FALSE))</f>
        <v>19</v>
      </c>
      <c r="Q10" s="94">
        <f>IF(ISERROR(VLOOKUP($A$4&amp;TEXT($A10,"00")&amp;TEXT(R$4,"00"),Samstag!$B$24:$S$162,16,FALSE)),"",VLOOKUP($A$4&amp;TEXT($A10,"00")&amp;TEXT(R$4,"00"),Samstag!$B$24:$S$162,16,FALSE))</f>
        <v>40</v>
      </c>
      <c r="R10" s="49" t="s">
        <v>15</v>
      </c>
      <c r="S10" s="95">
        <f>IF(ISERROR(VLOOKUP($A$4&amp;TEXT($A10,"00")&amp;TEXT(R$4,"00"),Samstag!$B$24:$S$162,18,FALSE)),"",VLOOKUP($A$4&amp;TEXT($A10,"00")&amp;TEXT(R$4,"00"),Samstag!$B$24:$S$162,18,FALSE))</f>
        <v>19</v>
      </c>
      <c r="T10" s="96">
        <f>IF(Y11="","",SUM(E10,H10,K10,N10,Q10))</f>
        <v>158</v>
      </c>
      <c r="U10" s="49" t="s">
        <v>15</v>
      </c>
      <c r="V10" s="97">
        <f>IF(Y11="","",SUM(G10,J10,M10,P10,S10))</f>
        <v>95</v>
      </c>
      <c r="W10" s="110">
        <f>IF(Y10="","",RANK(X11,($X$7,$X$9,$X$11,$X$13,$X$15),0))</f>
        <v>2</v>
      </c>
      <c r="Y10" s="99" t="s">
        <v>17</v>
      </c>
      <c r="AB10" s="34">
        <v>3</v>
      </c>
      <c r="AC10" s="100" t="str">
        <f>IF(W10="","",IF($W$6=3,$D$6,IF($W$8=3,$D$8,IF($W$10=3,$D$10,IF($W$12=3,$D$12,IF($W$14=3,$D$14,0))))))</f>
        <v>Baden</v>
      </c>
    </row>
    <row r="11" spans="1:31" ht="11.1" customHeight="1">
      <c r="C11" s="111"/>
      <c r="D11" s="54"/>
      <c r="E11" s="106">
        <f>IF(OR(E10="",E10=0),"",IF(E10&gt;G10,2,IF(E10&lt;G10,0,1)))</f>
        <v>0</v>
      </c>
      <c r="F11" s="40" t="s">
        <v>16</v>
      </c>
      <c r="G11" s="107">
        <f>IF(OR(G10="",G10=0),"",IF(G10&gt;E10,2,IF(G10&lt;E10,0,1)))</f>
        <v>2</v>
      </c>
      <c r="H11" s="106">
        <f>IF(OR(H10="",H10=0),"",IF(H10&gt;J10,2,IF(H10&lt;J10,0,1)))</f>
        <v>2</v>
      </c>
      <c r="I11" s="40" t="s">
        <v>16</v>
      </c>
      <c r="J11" s="107">
        <f>IF(OR(J10="",J10=0),"",IF(J10&gt;H10,2,IF(J10&lt;H10,0,1)))</f>
        <v>0</v>
      </c>
      <c r="K11" s="103"/>
      <c r="L11" s="104"/>
      <c r="M11" s="105"/>
      <c r="N11" s="106">
        <f>IF(OR(N10="",N10=0),"",IF(N10&gt;P10,2,IF(N10&lt;P10,0,1)))</f>
        <v>2</v>
      </c>
      <c r="O11" s="40" t="s">
        <v>16</v>
      </c>
      <c r="P11" s="107">
        <f>IF(OR(P10="",P10=0),"",IF(P10&gt;N10,2,IF(P10&lt;N10,0,1)))</f>
        <v>0</v>
      </c>
      <c r="Q11" s="106">
        <f>IF(OR(Q10="",Q10=0),"",IF(Q10&gt;S10,2,IF(Q10&lt;S10,0,1)))</f>
        <v>2</v>
      </c>
      <c r="R11" s="40" t="s">
        <v>16</v>
      </c>
      <c r="S11" s="107">
        <f>IF(OR(S10="",S10=0),"",IF(S10&gt;Q10,2,IF(S10&lt;Q10,0,1)))</f>
        <v>0</v>
      </c>
      <c r="T11" s="106">
        <f>IF(Y11="","",SUM(E11,H11,K11,N11,Q11))</f>
        <v>6</v>
      </c>
      <c r="U11" s="40" t="s">
        <v>16</v>
      </c>
      <c r="V11" s="107">
        <f>IF(Y11="","",SUM(G11,J11,M11,P11,S11))</f>
        <v>2</v>
      </c>
      <c r="W11" s="108"/>
      <c r="X11" s="109">
        <f>+(T11-V11)+T10/V10+T11</f>
        <v>11.663157894736841</v>
      </c>
      <c r="Y11" s="99" t="s">
        <v>17</v>
      </c>
      <c r="AC11" s="100"/>
    </row>
    <row r="12" spans="1:31" ht="15.2" customHeight="1">
      <c r="A12" s="34">
        <v>4</v>
      </c>
      <c r="C12" s="89" t="str">
        <f>IF(Daten!B8="","",Daten!B8)</f>
        <v/>
      </c>
      <c r="D12" s="90" t="str">
        <f>IF(Daten!C8="","",Daten!C8)</f>
        <v>Pfalz</v>
      </c>
      <c r="E12" s="94">
        <f>IF(P6="","",P6)</f>
        <v>25</v>
      </c>
      <c r="F12" s="49" t="s">
        <v>15</v>
      </c>
      <c r="G12" s="95">
        <f>IF(N6="","",N6)</f>
        <v>38</v>
      </c>
      <c r="H12" s="94">
        <f>IF(P8="","",P8)</f>
        <v>23</v>
      </c>
      <c r="I12" s="49" t="s">
        <v>15</v>
      </c>
      <c r="J12" s="95">
        <f>IF(N8="","",N8)</f>
        <v>45</v>
      </c>
      <c r="K12" s="94">
        <f>IF(P10="","",P10)</f>
        <v>19</v>
      </c>
      <c r="L12" s="49" t="s">
        <v>15</v>
      </c>
      <c r="M12" s="95">
        <f>IF(N10="","",N10)</f>
        <v>46</v>
      </c>
      <c r="N12" s="91"/>
      <c r="O12" s="92"/>
      <c r="P12" s="93"/>
      <c r="Q12" s="94">
        <f>IF(ISERROR(VLOOKUP($A$4&amp;TEXT($A12,"00")&amp;TEXT(R$4,"00"),Samstag!$B$24:$S$162,16,FALSE)),"",VLOOKUP($A$4&amp;TEXT($A12,"00")&amp;TEXT(R$4,"00"),Samstag!$B$24:$S$162,16,FALSE))</f>
        <v>24</v>
      </c>
      <c r="R12" s="49" t="s">
        <v>15</v>
      </c>
      <c r="S12" s="95">
        <f>IF(ISERROR(VLOOKUP($A$4&amp;TEXT($A12,"00")&amp;TEXT(R$4,"00"),Samstag!$B$24:$S$162,18,FALSE)),"",VLOOKUP($A$4&amp;TEXT($A12,"00")&amp;TEXT(R$4,"00"),Samstag!$B$24:$S$162,18,FALSE))</f>
        <v>44</v>
      </c>
      <c r="T12" s="96">
        <f>IF(Y13="","",SUM(E12,H12,K12,N12,Q12))</f>
        <v>91</v>
      </c>
      <c r="U12" s="49" t="s">
        <v>15</v>
      </c>
      <c r="V12" s="97">
        <f>IF(Y13="","",SUM(G12,J12,M12,P12,S12))</f>
        <v>173</v>
      </c>
      <c r="W12" s="110">
        <f>IF(Y12="","",RANK(X13,($X$7,$X$9,$X$11,$X$13,$X$15),0))</f>
        <v>5</v>
      </c>
      <c r="Y12" s="99" t="s">
        <v>17</v>
      </c>
      <c r="AB12" s="34">
        <v>4</v>
      </c>
      <c r="AC12" s="100" t="str">
        <f>IF(W12="","",IF($W$6=4,$D$6,IF($W$8=4,$D$8,IF($W$10=4,$D$10,IF($W$12=4,$D$12,IF($W$14=4,$D$14,0))))))</f>
        <v>Rheinland</v>
      </c>
    </row>
    <row r="13" spans="1:31" ht="11.1" customHeight="1">
      <c r="C13" s="111"/>
      <c r="D13" s="54"/>
      <c r="E13" s="106">
        <f>IF(OR(E12="",E12=0),"",IF(E12&gt;G12,2,IF(E12&lt;G12,0,1)))</f>
        <v>0</v>
      </c>
      <c r="F13" s="40" t="s">
        <v>16</v>
      </c>
      <c r="G13" s="107">
        <f>IF(OR(G12="",G12=0),"",IF(G12&gt;E12,2,IF(G12&lt;E12,0,1)))</f>
        <v>2</v>
      </c>
      <c r="H13" s="106">
        <f>IF(OR(H12="",H12=0),"",IF(H12&gt;J12,2,IF(H12&lt;J12,0,1)))</f>
        <v>0</v>
      </c>
      <c r="I13" s="40" t="s">
        <v>16</v>
      </c>
      <c r="J13" s="107">
        <f>IF(OR(J12="",J12=0),"",IF(J12&gt;H12,2,IF(J12&lt;H12,0,1)))</f>
        <v>2</v>
      </c>
      <c r="K13" s="106">
        <f>IF(OR(K12="",K12=0),"",IF(K12&gt;M12,2,IF(K12&lt;M12,0,1)))</f>
        <v>0</v>
      </c>
      <c r="L13" s="40" t="s">
        <v>16</v>
      </c>
      <c r="M13" s="107">
        <f>IF(OR(M12="",M12=0),"",IF(M12&gt;K12,2,IF(M12&lt;K12,0,1)))</f>
        <v>2</v>
      </c>
      <c r="N13" s="103"/>
      <c r="O13" s="104"/>
      <c r="P13" s="105"/>
      <c r="Q13" s="106">
        <f>IF(OR(Q12="",Q12=0),"",IF(Q12&gt;S12,2,IF(Q12&lt;S12,0,1)))</f>
        <v>0</v>
      </c>
      <c r="R13" s="40" t="s">
        <v>16</v>
      </c>
      <c r="S13" s="107">
        <f>IF(OR(S12="",S12=0),"",IF(S12&gt;Q12,2,IF(S12&lt;Q12,0,1)))</f>
        <v>2</v>
      </c>
      <c r="T13" s="106">
        <f>IF(Y13="","",SUM(E13,H13,K13,N13,Q13))</f>
        <v>0</v>
      </c>
      <c r="U13" s="40" t="s">
        <v>16</v>
      </c>
      <c r="V13" s="107">
        <f>IF(Y13="","",SUM(G13,J13,M13,P13,S13))</f>
        <v>8</v>
      </c>
      <c r="W13" s="108"/>
      <c r="X13" s="109">
        <f>+(T13-V13)+T12/V12+T13</f>
        <v>-7.4739884393063587</v>
      </c>
      <c r="Y13" s="99" t="s">
        <v>17</v>
      </c>
      <c r="AC13" s="100"/>
    </row>
    <row r="14" spans="1:31" ht="15.2" customHeight="1">
      <c r="A14" s="34">
        <v>5</v>
      </c>
      <c r="C14" s="89" t="str">
        <f>IF(Daten!B9="","",Daten!B9)</f>
        <v/>
      </c>
      <c r="D14" s="90" t="str">
        <f>IF(Daten!C9="","",Daten!C9)</f>
        <v>Rheinland</v>
      </c>
      <c r="E14" s="94">
        <f>IF(S6="","",S6)</f>
        <v>19</v>
      </c>
      <c r="F14" s="49" t="s">
        <v>15</v>
      </c>
      <c r="G14" s="95">
        <f>IF(Q6="","",Q6)</f>
        <v>37</v>
      </c>
      <c r="H14" s="94">
        <f>IF(S8="","",S8)</f>
        <v>25</v>
      </c>
      <c r="I14" s="49" t="s">
        <v>15</v>
      </c>
      <c r="J14" s="95">
        <f>IF(Q8="","",Q8)</f>
        <v>32</v>
      </c>
      <c r="K14" s="94">
        <f>IF(S10="","",S10)</f>
        <v>19</v>
      </c>
      <c r="L14" s="49" t="s">
        <v>15</v>
      </c>
      <c r="M14" s="95">
        <f>IF(Q10="","",Q10)</f>
        <v>40</v>
      </c>
      <c r="N14" s="94">
        <f>IF(S12="","",S12)</f>
        <v>44</v>
      </c>
      <c r="O14" s="49" t="s">
        <v>15</v>
      </c>
      <c r="P14" s="95">
        <f>IF(Q12="","",Q12)</f>
        <v>24</v>
      </c>
      <c r="Q14" s="91"/>
      <c r="R14" s="92"/>
      <c r="S14" s="93"/>
      <c r="T14" s="96">
        <f>IF(Y15="","",SUM(E14,H14,K14,N14,Q14))</f>
        <v>107</v>
      </c>
      <c r="U14" s="49" t="s">
        <v>15</v>
      </c>
      <c r="V14" s="97">
        <f>IF(Y15="","",SUM(G14,J14,M14,P14,S14))</f>
        <v>133</v>
      </c>
      <c r="W14" s="110">
        <f>IF(Y14="","",RANK(X15,($X$7,$X$9,$X$11,$X$13,$X$15),0))</f>
        <v>4</v>
      </c>
      <c r="Y14" s="99" t="s">
        <v>17</v>
      </c>
      <c r="AB14" s="34">
        <v>5</v>
      </c>
      <c r="AC14" s="100" t="str">
        <f>IF(W14="","",IF($W$6=5,$D$6,IF($W$8=5,$D$8,IF($W$10=5,$D$10,IF($W$12=5,$D$12,IF($W$14=5,$D$14,0))))))</f>
        <v>Pfalz</v>
      </c>
    </row>
    <row r="15" spans="1:31" ht="11.1" customHeight="1">
      <c r="C15" s="111"/>
      <c r="D15" s="112"/>
      <c r="E15" s="106">
        <f>IF(OR(E14="",E14=0),"",IF(E14&gt;G14,2,IF(E14&lt;G14,0,1)))</f>
        <v>0</v>
      </c>
      <c r="F15" s="40" t="s">
        <v>16</v>
      </c>
      <c r="G15" s="107">
        <f>IF(OR(G14="",G14=0),"",IF(G14&gt;E14,2,IF(G14&lt;E14,0,1)))</f>
        <v>2</v>
      </c>
      <c r="H15" s="106">
        <f>IF(OR(H14="",H14=0),"",IF(H14&gt;J14,2,IF(H14&lt;J14,0,1)))</f>
        <v>0</v>
      </c>
      <c r="I15" s="40" t="s">
        <v>16</v>
      </c>
      <c r="J15" s="107">
        <f>IF(OR(J14="",J14=0),"",IF(J14&gt;H14,2,IF(J14&lt;H14,0,1)))</f>
        <v>2</v>
      </c>
      <c r="K15" s="106">
        <f>IF(OR(K14="",K14=0),"",IF(K14&gt;M14,2,IF(K14&lt;M14,0,1)))</f>
        <v>0</v>
      </c>
      <c r="L15" s="40" t="s">
        <v>16</v>
      </c>
      <c r="M15" s="107">
        <f>IF(OR(M14="",M14=0),"",IF(M14&gt;K14,2,IF(M14&lt;K14,0,1)))</f>
        <v>2</v>
      </c>
      <c r="N15" s="106">
        <f>IF(OR(N14="",N14=0),"",IF(N14&gt;P14,2,IF(N14&lt;P14,0,1)))</f>
        <v>2</v>
      </c>
      <c r="O15" s="40" t="s">
        <v>16</v>
      </c>
      <c r="P15" s="107">
        <f>IF(OR(P14="",P14=0),"",IF(P14&gt;N14,2,IF(P14&lt;N14,0,1)))</f>
        <v>0</v>
      </c>
      <c r="Q15" s="103"/>
      <c r="R15" s="104"/>
      <c r="S15" s="105"/>
      <c r="T15" s="106">
        <f>IF(Y15="","",SUM(E15,H15,K15,N15,Q15))</f>
        <v>2</v>
      </c>
      <c r="U15" s="40" t="s">
        <v>16</v>
      </c>
      <c r="V15" s="107">
        <f>IF(Y15="","",SUM(G15,J15,M15,P15,S15))</f>
        <v>6</v>
      </c>
      <c r="W15" s="108"/>
      <c r="X15" s="109">
        <f>+(T15-V15)+T14/V14+T15</f>
        <v>-1.1954887218045114</v>
      </c>
      <c r="Y15" s="99" t="s">
        <v>17</v>
      </c>
    </row>
    <row r="16" spans="1:31" ht="10.15" customHeight="1">
      <c r="C16" s="113"/>
      <c r="D16" s="113"/>
      <c r="E16" s="114"/>
      <c r="F16" s="49"/>
      <c r="G16" s="115"/>
      <c r="H16" s="114"/>
      <c r="I16" s="49"/>
      <c r="J16" s="115"/>
      <c r="K16" s="114"/>
      <c r="L16" s="49"/>
      <c r="M16" s="115"/>
      <c r="N16" s="114"/>
      <c r="O16" s="49"/>
      <c r="P16" s="115"/>
      <c r="Q16" s="116"/>
      <c r="R16" s="116"/>
      <c r="S16" s="116"/>
      <c r="T16" s="114"/>
      <c r="U16" s="49"/>
      <c r="V16" s="115"/>
      <c r="W16" s="117"/>
      <c r="X16" s="309"/>
      <c r="Y16" s="99"/>
    </row>
    <row r="17" spans="1:46" ht="10.15" hidden="1" customHeight="1" outlineLevel="1">
      <c r="C17" s="118" t="s">
        <v>18</v>
      </c>
      <c r="D17" s="119" t="str">
        <f>+D6</f>
        <v>Westfalen</v>
      </c>
      <c r="E17" s="120"/>
      <c r="F17" s="121"/>
      <c r="G17" s="122"/>
      <c r="H17" s="123"/>
      <c r="I17" s="124" t="s">
        <v>15</v>
      </c>
      <c r="J17" s="125"/>
      <c r="K17" s="123"/>
      <c r="L17" s="124" t="s">
        <v>15</v>
      </c>
      <c r="M17" s="125"/>
      <c r="N17" s="123"/>
      <c r="O17" s="124" t="s">
        <v>15</v>
      </c>
      <c r="P17" s="125"/>
      <c r="Q17" s="126"/>
      <c r="R17" s="124" t="s">
        <v>15</v>
      </c>
      <c r="S17" s="127"/>
      <c r="T17" s="37"/>
      <c r="U17" s="38"/>
      <c r="V17" s="42"/>
      <c r="W17" s="41"/>
      <c r="X17" s="309"/>
      <c r="Y17" s="99"/>
    </row>
    <row r="18" spans="1:46" ht="10.15" hidden="1" customHeight="1" outlineLevel="1">
      <c r="C18" s="128"/>
      <c r="D18" s="119" t="str">
        <f>+D8</f>
        <v>Baden</v>
      </c>
      <c r="E18" s="123" t="str">
        <f>IF(J17="","",J17)</f>
        <v/>
      </c>
      <c r="F18" s="124" t="s">
        <v>15</v>
      </c>
      <c r="G18" s="125" t="str">
        <f>IF(H17="","",H17)</f>
        <v/>
      </c>
      <c r="H18" s="120"/>
      <c r="I18" s="121"/>
      <c r="J18" s="122"/>
      <c r="K18" s="123"/>
      <c r="L18" s="124" t="s">
        <v>15</v>
      </c>
      <c r="M18" s="125"/>
      <c r="N18" s="123"/>
      <c r="O18" s="124" t="s">
        <v>15</v>
      </c>
      <c r="P18" s="125"/>
      <c r="Q18" s="126"/>
      <c r="R18" s="124" t="s">
        <v>15</v>
      </c>
      <c r="S18" s="127"/>
      <c r="T18" s="37"/>
      <c r="U18" s="38"/>
      <c r="V18" s="42"/>
      <c r="W18" s="41"/>
      <c r="X18" s="309"/>
      <c r="Y18" s="99"/>
    </row>
    <row r="19" spans="1:46" ht="10.15" hidden="1" customHeight="1" outlineLevel="1">
      <c r="C19" s="128"/>
      <c r="D19" s="119" t="str">
        <f>+D10</f>
        <v>Niedersachsen</v>
      </c>
      <c r="E19" s="123" t="str">
        <f>IF(M17="","",M17)</f>
        <v/>
      </c>
      <c r="F19" s="124" t="s">
        <v>15</v>
      </c>
      <c r="G19" s="125" t="str">
        <f>IF(K17="","",K17)</f>
        <v/>
      </c>
      <c r="H19" s="123" t="str">
        <f>IF(M18="","",M18)</f>
        <v/>
      </c>
      <c r="I19" s="124" t="s">
        <v>15</v>
      </c>
      <c r="J19" s="125" t="str">
        <f>IF(K18="","",K18)</f>
        <v/>
      </c>
      <c r="K19" s="120"/>
      <c r="L19" s="121"/>
      <c r="M19" s="122"/>
      <c r="N19" s="123"/>
      <c r="O19" s="124" t="s">
        <v>15</v>
      </c>
      <c r="P19" s="125"/>
      <c r="Q19" s="126"/>
      <c r="R19" s="124" t="s">
        <v>15</v>
      </c>
      <c r="S19" s="127"/>
      <c r="T19" s="37"/>
      <c r="U19" s="38"/>
      <c r="V19" s="42"/>
      <c r="W19" s="41"/>
      <c r="X19" s="309"/>
      <c r="Y19" s="99"/>
    </row>
    <row r="20" spans="1:46" ht="10.15" hidden="1" customHeight="1" outlineLevel="1">
      <c r="C20" s="128"/>
      <c r="D20" s="119" t="str">
        <f>+D12</f>
        <v>Pfalz</v>
      </c>
      <c r="E20" s="123" t="str">
        <f>IF(P17="","",P17)</f>
        <v/>
      </c>
      <c r="F20" s="124" t="s">
        <v>15</v>
      </c>
      <c r="G20" s="125" t="str">
        <f>IF(N17="","",N17)</f>
        <v/>
      </c>
      <c r="H20" s="123" t="str">
        <f>IF(P18="","",P18)</f>
        <v/>
      </c>
      <c r="I20" s="124" t="s">
        <v>15</v>
      </c>
      <c r="J20" s="125" t="str">
        <f>IF(N18="","",N18)</f>
        <v/>
      </c>
      <c r="K20" s="123" t="str">
        <f>IF(P19="","",P19)</f>
        <v/>
      </c>
      <c r="L20" s="124" t="s">
        <v>15</v>
      </c>
      <c r="M20" s="125" t="str">
        <f>IF(N19="","",N19)</f>
        <v/>
      </c>
      <c r="N20" s="120"/>
      <c r="O20" s="121"/>
      <c r="P20" s="122"/>
      <c r="Q20" s="126"/>
      <c r="R20" s="124" t="s">
        <v>15</v>
      </c>
      <c r="S20" s="127"/>
      <c r="T20" s="37"/>
      <c r="U20" s="38"/>
      <c r="V20" s="42"/>
      <c r="W20" s="41"/>
      <c r="X20" s="309"/>
      <c r="Y20" s="99"/>
    </row>
    <row r="21" spans="1:46" ht="10.15" hidden="1" customHeight="1" outlineLevel="1">
      <c r="C21" s="128"/>
      <c r="D21" s="119" t="str">
        <f>+D14</f>
        <v>Rheinland</v>
      </c>
      <c r="E21" s="123" t="str">
        <f>IF(S17="","",S17)</f>
        <v/>
      </c>
      <c r="F21" s="124" t="s">
        <v>15</v>
      </c>
      <c r="G21" s="125" t="str">
        <f>IF(Q17="","",Q17)</f>
        <v/>
      </c>
      <c r="H21" s="123" t="str">
        <f>IF(S18="","",S18)</f>
        <v/>
      </c>
      <c r="I21" s="124" t="s">
        <v>15</v>
      </c>
      <c r="J21" s="125" t="str">
        <f>IF(Q18="","",Q18)</f>
        <v/>
      </c>
      <c r="K21" s="123" t="str">
        <f>IF(S19="","",S19)</f>
        <v/>
      </c>
      <c r="L21" s="124" t="s">
        <v>15</v>
      </c>
      <c r="M21" s="125" t="str">
        <f>IF(Q19="","",Q19)</f>
        <v/>
      </c>
      <c r="N21" s="123" t="str">
        <f>IF(S20="","",S20)</f>
        <v/>
      </c>
      <c r="O21" s="124" t="s">
        <v>15</v>
      </c>
      <c r="P21" s="125" t="str">
        <f>IF(Q20="","",Q20)</f>
        <v/>
      </c>
      <c r="Q21" s="120"/>
      <c r="R21" s="129"/>
      <c r="S21" s="122"/>
      <c r="T21" s="37"/>
      <c r="U21" s="38"/>
      <c r="V21" s="42"/>
      <c r="W21" s="41"/>
      <c r="X21" s="309"/>
      <c r="Y21" s="99"/>
    </row>
    <row r="22" spans="1:46" collapsed="1">
      <c r="X22" s="308"/>
    </row>
    <row r="23" spans="1:46" ht="21.75" customHeight="1">
      <c r="C23" s="74"/>
      <c r="D23" s="75"/>
      <c r="E23" s="70"/>
      <c r="F23" s="130">
        <v>11</v>
      </c>
      <c r="G23" s="131"/>
      <c r="H23" s="130"/>
      <c r="I23" s="130">
        <v>12</v>
      </c>
      <c r="J23" s="130"/>
      <c r="K23" s="130"/>
      <c r="L23" s="130">
        <v>13</v>
      </c>
      <c r="M23" s="130"/>
      <c r="N23" s="130"/>
      <c r="O23" s="130">
        <v>14</v>
      </c>
      <c r="P23" s="130"/>
      <c r="Q23" s="130"/>
      <c r="R23" s="130">
        <v>15</v>
      </c>
      <c r="S23" s="132"/>
      <c r="T23" s="75"/>
      <c r="U23" s="75"/>
      <c r="V23" s="75"/>
      <c r="W23" s="75"/>
      <c r="X23" s="308"/>
    </row>
    <row r="24" spans="1:46" ht="12.75" customHeight="1" collapsed="1">
      <c r="C24" s="84"/>
      <c r="D24" s="83" t="str">
        <f>+Daten!F4</f>
        <v>Gruppe B</v>
      </c>
      <c r="E24" s="81"/>
      <c r="F24" s="79" t="str">
        <f>+D25</f>
        <v>Bremen</v>
      </c>
      <c r="G24" s="87"/>
      <c r="H24" s="81"/>
      <c r="I24" s="79" t="str">
        <f>+D27</f>
        <v>Berlin</v>
      </c>
      <c r="J24" s="87"/>
      <c r="K24" s="81"/>
      <c r="L24" s="79" t="str">
        <f>+D29</f>
        <v>Schwaben</v>
      </c>
      <c r="M24" s="87"/>
      <c r="N24" s="81"/>
      <c r="O24" s="79" t="str">
        <f>+D31</f>
        <v>Hessen</v>
      </c>
      <c r="P24" s="87"/>
      <c r="Q24" s="81"/>
      <c r="R24" s="79" t="str">
        <f>+D33</f>
        <v/>
      </c>
      <c r="S24" s="87"/>
      <c r="T24" s="81"/>
      <c r="U24" s="86" t="s">
        <v>12</v>
      </c>
      <c r="V24" s="87"/>
      <c r="W24" s="88" t="s">
        <v>13</v>
      </c>
      <c r="X24" s="308"/>
    </row>
    <row r="25" spans="1:46" ht="15.2" customHeight="1">
      <c r="A25" s="34">
        <v>11</v>
      </c>
      <c r="C25" s="89" t="str">
        <f>IF(Daten!E25="","",Daten!E25)</f>
        <v/>
      </c>
      <c r="D25" s="90" t="str">
        <f>IF(Daten!F5="","",Daten!F5)</f>
        <v>Bremen</v>
      </c>
      <c r="E25" s="91"/>
      <c r="F25" s="92"/>
      <c r="G25" s="93"/>
      <c r="H25" s="94">
        <f>IF(ISERROR(VLOOKUP($A$4&amp;TEXT($A25,"00")&amp;TEXT(I$23,"00"),Samstag!$B$24:$T$162,16,FALSE)),"",VLOOKUP($A$4&amp;TEXT($A25,"00")&amp;TEXT(I$23,"00"),Samstag!$B$24:$T$162,16,FALSE))</f>
        <v>53</v>
      </c>
      <c r="I25" s="49" t="s">
        <v>15</v>
      </c>
      <c r="J25" s="95">
        <f>IF(ISERROR(VLOOKUP($A$4&amp;TEXT($A25,"00")&amp;TEXT(I$23,"00"),Samstag!$B$24:$T$162,18,FALSE)),"",VLOOKUP($A$4&amp;TEXT($A25,"00")&amp;TEXT(I$23,"00"),Samstag!$B$24:$T$162,18,FALSE))</f>
        <v>11</v>
      </c>
      <c r="K25" s="94">
        <f>IF(ISERROR(VLOOKUP($A$4&amp;TEXT($A25,"00")&amp;TEXT(L$23,"00"),Samstag!$B$24:$T$162,16,FALSE)),"",VLOOKUP($A$4&amp;TEXT($A25,"00")&amp;TEXT(L$23,"00"),Samstag!$B$24:$T$162,16,FALSE))</f>
        <v>37</v>
      </c>
      <c r="L25" s="49" t="s">
        <v>15</v>
      </c>
      <c r="M25" s="95">
        <f>IF(ISERROR(VLOOKUP($A$4&amp;TEXT($A25,"00")&amp;TEXT(L$23,"00"),Samstag!$B$24:$T$162,18,FALSE)),"",VLOOKUP($A$4&amp;TEXT($A25,"00")&amp;TEXT(L$23,"00"),Samstag!$B$24:$T$162,18,FALSE))</f>
        <v>25</v>
      </c>
      <c r="N25" s="94">
        <f>IF(ISERROR(VLOOKUP($A$4&amp;TEXT($A25,"00")&amp;TEXT(O$23,"00"),Samstag!$B$24:$T$162,16,FALSE)),"",VLOOKUP($A$4&amp;TEXT($A25,"00")&amp;TEXT(O$23,"00"),Samstag!$B$24:$T$162,16,FALSE))</f>
        <v>46</v>
      </c>
      <c r="O25" s="49" t="s">
        <v>15</v>
      </c>
      <c r="P25" s="95">
        <f>IF(ISERROR(VLOOKUP($A$4&amp;TEXT($A25,"00")&amp;TEXT(O$23,"00"),Samstag!$B$24:$T$162,18,FALSE)),"",VLOOKUP($A$4&amp;TEXT($A25,"00")&amp;TEXT(O$23,"00"),Samstag!$B$24:$T$162,18,FALSE))</f>
        <v>20</v>
      </c>
      <c r="Q25" s="94" t="str">
        <f>IF(ISERROR(VLOOKUP($A$4&amp;TEXT($A25,"00")&amp;TEXT(R$23,"00"),Samstag!$B$24:$T$162,16,FALSE)),"",VLOOKUP($A$4&amp;TEXT($A25,"00")&amp;TEXT(R$23,"00"),Samstag!$B$24:$T$162,16,FALSE))</f>
        <v/>
      </c>
      <c r="R25" s="49" t="s">
        <v>15</v>
      </c>
      <c r="S25" s="95" t="str">
        <f>IF(ISERROR(VLOOKUP($A$4&amp;TEXT($A25,"00")&amp;TEXT(R$23,"00"),Samstag!$B$24:$T$162,18,FALSE)),"",VLOOKUP($A$4&amp;TEXT($A25,"00")&amp;TEXT(R$23,"00"),Samstag!$B$24:$T$162,18,FALSE))</f>
        <v/>
      </c>
      <c r="T25" s="96">
        <f>IF(Y26="","",SUM(E25,H25,K25,N25,Q25))</f>
        <v>136</v>
      </c>
      <c r="U25" s="49" t="s">
        <v>15</v>
      </c>
      <c r="V25" s="97">
        <f>IF(Y26="","",SUM(G25,J25,M25,P25,S25))</f>
        <v>56</v>
      </c>
      <c r="W25" s="110">
        <f>IF(Y25="","",RANK(X26,($X$26,$X$28,$X$30,$X$32,$X$34),0))</f>
        <v>1</v>
      </c>
      <c r="Y25" s="99" t="s">
        <v>17</v>
      </c>
      <c r="AB25" s="34">
        <v>1</v>
      </c>
      <c r="AC25" s="34" t="str">
        <f>IF(W25="","",IF($W$25=1,$D$25,IF($W$27=1,$D$27,IF($W$29=1,$D$29,IF($W$31=1,$D$31,IF($W$33=1,$D$33,0))))))</f>
        <v>Bremen</v>
      </c>
    </row>
    <row r="26" spans="1:46" ht="11.1" customHeight="1">
      <c r="C26" s="133"/>
      <c r="D26" s="134"/>
      <c r="E26" s="103"/>
      <c r="F26" s="104"/>
      <c r="G26" s="105"/>
      <c r="H26" s="106">
        <f>IF(OR(H25="",H25=0),"",IF(H25&gt;J25,2,IF(H25&lt;J25,0,1)))</f>
        <v>2</v>
      </c>
      <c r="I26" s="40" t="s">
        <v>16</v>
      </c>
      <c r="J26" s="107">
        <f>IF(OR(J25="",J25=0),"",IF(J25&gt;H25,2,IF(J25&lt;H25,0,1)))</f>
        <v>0</v>
      </c>
      <c r="K26" s="106">
        <f>IF(OR(K25="",K25=0),"",IF(K25&gt;M25,2,IF(K25&lt;M25,0,1)))</f>
        <v>2</v>
      </c>
      <c r="L26" s="40" t="s">
        <v>16</v>
      </c>
      <c r="M26" s="107">
        <f>IF(OR(M25="",M25=0),"",IF(M25&gt;K25,2,IF(M25&lt;K25,0,1)))</f>
        <v>0</v>
      </c>
      <c r="N26" s="106">
        <f>IF(OR(N25="",N25=0),"",IF(N25&gt;P25,2,IF(N25&lt;P25,0,1)))</f>
        <v>2</v>
      </c>
      <c r="O26" s="40" t="s">
        <v>16</v>
      </c>
      <c r="P26" s="107">
        <f>IF(OR(P25="",P25=0),"",IF(P25&gt;N25,2,IF(P25&lt;N25,0,1)))</f>
        <v>0</v>
      </c>
      <c r="Q26" s="106" t="str">
        <f>IF(OR(Q25="",Q25=0),"",IF(Q25&gt;S25,2,IF(Q25&lt;S25,0,1)))</f>
        <v/>
      </c>
      <c r="R26" s="40" t="s">
        <v>16</v>
      </c>
      <c r="S26" s="107" t="str">
        <f>IF(OR(S25="",S25=0),"",IF(S25&gt;Q25,2,IF(S25&lt;Q25,0,1)))</f>
        <v/>
      </c>
      <c r="T26" s="106">
        <f>IF(Y26="","",SUM(E26,H26,K26,N26,Q26))</f>
        <v>6</v>
      </c>
      <c r="U26" s="40" t="s">
        <v>16</v>
      </c>
      <c r="V26" s="107">
        <f>IF(Y26="","",SUM(G26,J26,M26,P26,S26))</f>
        <v>0</v>
      </c>
      <c r="W26" s="108"/>
      <c r="X26" s="109">
        <f>+(T26-V26)+T25/V25+T26</f>
        <v>14.428571428571429</v>
      </c>
      <c r="Y26" s="99" t="s">
        <v>17</v>
      </c>
    </row>
    <row r="27" spans="1:46" ht="15.2" customHeight="1">
      <c r="A27" s="34">
        <v>12</v>
      </c>
      <c r="C27" s="89" t="str">
        <f>IF(Daten!E26="","",Daten!E26)</f>
        <v/>
      </c>
      <c r="D27" s="90" t="str">
        <f>IF(Daten!F6="","",Daten!F6)</f>
        <v>Berlin</v>
      </c>
      <c r="E27" s="94">
        <f>IF(J25="","",J25)</f>
        <v>11</v>
      </c>
      <c r="F27" s="49" t="s">
        <v>15</v>
      </c>
      <c r="G27" s="95">
        <f>IF(H25="","",H25)</f>
        <v>53</v>
      </c>
      <c r="H27" s="91"/>
      <c r="I27" s="92"/>
      <c r="J27" s="93"/>
      <c r="K27" s="94">
        <f>IF(ISERROR(VLOOKUP($A$4&amp;TEXT($A27,"00")&amp;TEXT(L$23,"00"),Samstag!$B$24:$T$162,16,FALSE)),"",VLOOKUP($A$4&amp;TEXT($A27,"00")&amp;TEXT(L$23,"00"),Samstag!$B$24:$T$162,16,FALSE))</f>
        <v>13</v>
      </c>
      <c r="L27" s="49" t="s">
        <v>15</v>
      </c>
      <c r="M27" s="95">
        <f>IF(ISERROR(VLOOKUP($A$4&amp;TEXT($A27,"00")&amp;TEXT(L$23,"00"),Samstag!$B$24:$T$162,18,FALSE)),"",VLOOKUP($A$4&amp;TEXT($A27,"00")&amp;TEXT(L$23,"00"),Samstag!$B$24:$T$162,18,FALSE))</f>
        <v>55</v>
      </c>
      <c r="N27" s="94">
        <f>IF(ISERROR(VLOOKUP($A$4&amp;TEXT($A27,"00")&amp;TEXT(O$23,"00"),Samstag!$B$24:$T$162,16,FALSE)),"",VLOOKUP($A$4&amp;TEXT($A27,"00")&amp;TEXT(O$23,"00"),Samstag!$B$24:$T$162,16,FALSE))</f>
        <v>28</v>
      </c>
      <c r="O27" s="49" t="s">
        <v>15</v>
      </c>
      <c r="P27" s="95">
        <f>IF(ISERROR(VLOOKUP($A$4&amp;TEXT($A27,"00")&amp;TEXT(O$23,"00"),Samstag!$B$24:$T$162,18,FALSE)),"",VLOOKUP($A$4&amp;TEXT($A27,"00")&amp;TEXT(O$23,"00"),Samstag!$B$24:$T$162,18,FALSE))</f>
        <v>45</v>
      </c>
      <c r="Q27" s="94" t="str">
        <f>IF(ISERROR(VLOOKUP($A$4&amp;TEXT($A27,"00")&amp;TEXT(R$23,"00"),Samstag!$B$24:$T$162,16,FALSE)),"",VLOOKUP($A$4&amp;TEXT($A27,"00")&amp;TEXT(R$23,"00"),Samstag!$B$24:$T$162,16,FALSE))</f>
        <v/>
      </c>
      <c r="R27" s="49" t="s">
        <v>15</v>
      </c>
      <c r="S27" s="95" t="str">
        <f>IF(ISERROR(VLOOKUP($A$4&amp;TEXT($A27,"00")&amp;TEXT(R$23,"00"),Samstag!$B$24:$T$162,18,FALSE)),"",VLOOKUP($A$4&amp;TEXT($A27,"00")&amp;TEXT(R$23,"00"),Samstag!$B$24:$T$162,18,FALSE))</f>
        <v/>
      </c>
      <c r="T27" s="96">
        <f>IF(Y28="","",SUM(E27,H27,K27,N27,Q27))</f>
        <v>52</v>
      </c>
      <c r="U27" s="49" t="s">
        <v>15</v>
      </c>
      <c r="V27" s="97">
        <f>IF(Y28="","",SUM(G27,J27,M27,P27,S27))</f>
        <v>153</v>
      </c>
      <c r="W27" s="110">
        <f>IF(Y27="","",RANK(X28,($X$26,$X$28,$X$30,$X$32,$X$34),0))</f>
        <v>4</v>
      </c>
      <c r="Y27" s="99" t="s">
        <v>17</v>
      </c>
      <c r="AB27" s="34">
        <v>2</v>
      </c>
      <c r="AC27" s="34" t="str">
        <f>IF(W27="","",IF($W$25=2,$D$25,IF($W$27=2,$D$27,IF($W$29=2,$D$29,IF($W$31=2,$D$31,IF($W$33=2,$D$33,0))))))</f>
        <v>Schwaben</v>
      </c>
    </row>
    <row r="28" spans="1:46" ht="11.1" customHeight="1">
      <c r="C28" s="133"/>
      <c r="D28" s="134"/>
      <c r="E28" s="106">
        <f>IF(OR(E27="",E27=0),"",IF(E27&gt;G27,2,IF(E27&lt;G27,0,1)))</f>
        <v>0</v>
      </c>
      <c r="F28" s="40" t="s">
        <v>16</v>
      </c>
      <c r="G28" s="107">
        <f>IF(OR(G27="",G27=0),"",IF(G27&gt;E27,2,IF(G27&lt;E27,0,1)))</f>
        <v>2</v>
      </c>
      <c r="H28" s="103"/>
      <c r="I28" s="104"/>
      <c r="J28" s="105"/>
      <c r="K28" s="106">
        <f>IF(OR(K27="",K27=0),"",IF(K27&gt;M27,2,IF(K27&lt;M27,0,1)))</f>
        <v>0</v>
      </c>
      <c r="L28" s="40" t="s">
        <v>16</v>
      </c>
      <c r="M28" s="107">
        <f>IF(OR(M27="",M27=0),"",IF(M27&gt;K27,2,IF(M27&lt;K27,0,1)))</f>
        <v>2</v>
      </c>
      <c r="N28" s="106">
        <f>IF(OR(N27="",N27=0),"",IF(N27&gt;P27,2,IF(N27&lt;P27,0,1)))</f>
        <v>0</v>
      </c>
      <c r="O28" s="40" t="s">
        <v>16</v>
      </c>
      <c r="P28" s="107">
        <f>IF(OR(P27="",P27=0),"",IF(P27&gt;N27,2,IF(P27&lt;N27,0,1)))</f>
        <v>2</v>
      </c>
      <c r="Q28" s="106" t="str">
        <f>IF(OR(Q27="",Q27=0),"",IF(Q27&gt;S27,2,IF(Q27&lt;S27,0,1)))</f>
        <v/>
      </c>
      <c r="R28" s="40" t="s">
        <v>16</v>
      </c>
      <c r="S28" s="107" t="str">
        <f>IF(OR(S27="",S27=0),"",IF(S27&gt;Q27,2,IF(S27&lt;Q27,0,1)))</f>
        <v/>
      </c>
      <c r="T28" s="106">
        <f>IF(Y28="","",SUM(E28,H28,K28,N28,Q28))</f>
        <v>0</v>
      </c>
      <c r="U28" s="40" t="s">
        <v>16</v>
      </c>
      <c r="V28" s="107">
        <f>IF(Y28="","",SUM(G28,J28,M28,P28,S28))</f>
        <v>6</v>
      </c>
      <c r="W28" s="108"/>
      <c r="X28" s="109">
        <f>+(T28-V28)+T27/V27+T28</f>
        <v>-5.6601307189542487</v>
      </c>
      <c r="Y28" s="99" t="s">
        <v>17</v>
      </c>
    </row>
    <row r="29" spans="1:46" ht="15.2" customHeight="1">
      <c r="A29" s="34">
        <v>13</v>
      </c>
      <c r="C29" s="89" t="str">
        <f>IF(Daten!E27="","",Daten!E27)</f>
        <v/>
      </c>
      <c r="D29" s="90" t="str">
        <f>IF(Daten!F7="","",Daten!F7)</f>
        <v>Schwaben</v>
      </c>
      <c r="E29" s="94">
        <f>IF(M25="","",M25)</f>
        <v>25</v>
      </c>
      <c r="F29" s="49" t="s">
        <v>15</v>
      </c>
      <c r="G29" s="95">
        <f>IF(K25="","",K25)</f>
        <v>37</v>
      </c>
      <c r="H29" s="94">
        <f>IF(M27="","",M27)</f>
        <v>55</v>
      </c>
      <c r="I29" s="49" t="s">
        <v>15</v>
      </c>
      <c r="J29" s="95">
        <f>IF(K27="","",K27)</f>
        <v>13</v>
      </c>
      <c r="K29" s="91"/>
      <c r="L29" s="92"/>
      <c r="M29" s="93"/>
      <c r="N29" s="94">
        <f>IF(ISERROR(VLOOKUP($A$4&amp;TEXT($A29,"00")&amp;TEXT(O$23,"00"),Samstag!$B$24:$T$162,16,FALSE)),"",VLOOKUP($A$4&amp;TEXT($A29,"00")&amp;TEXT(O$23,"00"),Samstag!$B$24:$T$162,16,FALSE))</f>
        <v>51</v>
      </c>
      <c r="O29" s="49" t="s">
        <v>15</v>
      </c>
      <c r="P29" s="95">
        <f>IF(ISERROR(VLOOKUP($A$4&amp;TEXT($A29,"00")&amp;TEXT(O$23,"00"),Samstag!$B$24:$T$162,18,FALSE)),"",VLOOKUP($A$4&amp;TEXT($A29,"00")&amp;TEXT(O$23,"00"),Samstag!$B$24:$T$162,18,FALSE))</f>
        <v>25</v>
      </c>
      <c r="Q29" s="94" t="str">
        <f>IF(ISERROR(VLOOKUP($A$4&amp;TEXT($A29,"00")&amp;TEXT(R$23,"00"),Samstag!$B$24:$T$162,16,FALSE)),"",VLOOKUP($A$4&amp;TEXT($A29,"00")&amp;TEXT(R$23,"00"),Samstag!$B$24:$T$162,16,FALSE))</f>
        <v/>
      </c>
      <c r="R29" s="49" t="s">
        <v>15</v>
      </c>
      <c r="S29" s="95" t="str">
        <f>IF(ISERROR(VLOOKUP($A$4&amp;TEXT($A29,"00")&amp;TEXT(R$23,"00"),Samstag!$B$24:$T$162,18,FALSE)),"",VLOOKUP($A$4&amp;TEXT($A29,"00")&amp;TEXT(R$23,"00"),Samstag!$B$24:$T$162,18,FALSE))</f>
        <v/>
      </c>
      <c r="T29" s="96">
        <f>IF(Y30="","",SUM(E29,H29,K29,N29,Q29))</f>
        <v>131</v>
      </c>
      <c r="U29" s="49" t="s">
        <v>15</v>
      </c>
      <c r="V29" s="97">
        <f>IF(Y30="","",SUM(G29,J29,M29,P29,S29))</f>
        <v>75</v>
      </c>
      <c r="W29" s="110">
        <f>IF(Y29="","",RANK(X30,($X$26,$X$28,$X$30,$X$32,$X$34),0))</f>
        <v>2</v>
      </c>
      <c r="Y29" s="99" t="s">
        <v>17</v>
      </c>
      <c r="AB29" s="34">
        <v>3</v>
      </c>
      <c r="AC29" s="34" t="str">
        <f>IF(W29="","",IF($W$25=3,$D$25,IF($W$27=3,$D$27,IF($W$29=3,$D$29,IF($W$31=3,$D$31,IF($W$33=3,$D$33,0))))))</f>
        <v>Hessen</v>
      </c>
      <c r="AD29" s="190">
        <v>1</v>
      </c>
      <c r="AE29" s="191" t="str">
        <f>IF(AC12="","4. "&amp;D5,AC12)</f>
        <v>Rheinland</v>
      </c>
      <c r="AF29" s="192"/>
      <c r="AG29" s="179"/>
      <c r="AH29" s="193"/>
      <c r="AI29" s="190">
        <f>+K44</f>
        <v>37</v>
      </c>
      <c r="AJ29" s="49" t="s">
        <v>15</v>
      </c>
      <c r="AK29" s="191">
        <f>+M44</f>
        <v>31</v>
      </c>
      <c r="AL29" s="190">
        <f>+K46</f>
        <v>43</v>
      </c>
      <c r="AM29" s="49" t="s">
        <v>15</v>
      </c>
      <c r="AN29" s="191">
        <f>+M46</f>
        <v>22</v>
      </c>
      <c r="AO29" s="96">
        <f>IF(AT30="","",SUM(AF29,AI29,AL29))</f>
        <v>80</v>
      </c>
      <c r="AP29" s="49" t="s">
        <v>15</v>
      </c>
      <c r="AQ29" s="97">
        <f>IF(AT30="","",SUM(AH29,AK29,AN29))</f>
        <v>53</v>
      </c>
      <c r="AR29" s="110">
        <f>IF(AT29="","",RANK(AS30,($AS$30,$AS$32,$AS$34),0))</f>
        <v>1</v>
      </c>
      <c r="AT29" s="34" t="s">
        <v>17</v>
      </c>
    </row>
    <row r="30" spans="1:46" ht="11.1" customHeight="1">
      <c r="C30" s="135"/>
      <c r="D30" s="136"/>
      <c r="E30" s="106">
        <f>IF(OR(E29="",E29=0),"",IF(E29&gt;G29,2,IF(E29&lt;G29,0,1)))</f>
        <v>0</v>
      </c>
      <c r="F30" s="40" t="s">
        <v>16</v>
      </c>
      <c r="G30" s="107">
        <f>IF(OR(G29="",G29=0),"",IF(G29&gt;E29,2,IF(G29&lt;E29,0,1)))</f>
        <v>2</v>
      </c>
      <c r="H30" s="106">
        <f>IF(OR(H29="",H29=0),"",IF(H29&gt;J29,2,IF(H29&lt;J29,0,1)))</f>
        <v>2</v>
      </c>
      <c r="I30" s="40" t="s">
        <v>16</v>
      </c>
      <c r="J30" s="107">
        <f>IF(OR(J29="",J29=0),"",IF(J29&gt;H29,2,IF(J29&lt;H29,0,1)))</f>
        <v>0</v>
      </c>
      <c r="K30" s="103"/>
      <c r="L30" s="104"/>
      <c r="M30" s="105"/>
      <c r="N30" s="106">
        <f>IF(OR(N29="",N29=0),"",IF(N29&gt;P29,2,IF(N29&lt;P29,0,1)))</f>
        <v>2</v>
      </c>
      <c r="O30" s="40" t="s">
        <v>16</v>
      </c>
      <c r="P30" s="107">
        <f>IF(OR(P29="",P29=0),"",IF(P29&gt;N29,2,IF(P29&lt;N29,0,1)))</f>
        <v>0</v>
      </c>
      <c r="Q30" s="106" t="str">
        <f>IF(OR(Q29="",Q29=0),"",IF(Q29&gt;S29,2,IF(Q29&lt;S29,0,1)))</f>
        <v/>
      </c>
      <c r="R30" s="40" t="s">
        <v>16</v>
      </c>
      <c r="S30" s="107" t="str">
        <f>IF(OR(S29="",S29=0),"",IF(S29&gt;Q29,2,IF(S29&lt;Q29,0,1)))</f>
        <v/>
      </c>
      <c r="T30" s="106">
        <f>IF(Y30="","",SUM(E30,H30,K30,N30,Q30))</f>
        <v>4</v>
      </c>
      <c r="U30" s="40" t="s">
        <v>16</v>
      </c>
      <c r="V30" s="107">
        <f>IF(Y30="","",SUM(G30,J30,M30,P30,S30))</f>
        <v>2</v>
      </c>
      <c r="W30" s="108"/>
      <c r="X30" s="109">
        <f>+(T30-V30)+T29/V29+T30</f>
        <v>7.7466666666666661</v>
      </c>
      <c r="Y30" s="99" t="s">
        <v>17</v>
      </c>
      <c r="AD30" s="194"/>
      <c r="AE30" s="195"/>
      <c r="AF30" s="196"/>
      <c r="AG30" s="197"/>
      <c r="AH30" s="198"/>
      <c r="AI30" s="106">
        <f>IF(OR(AI29="",AI29=0),"",IF(AI29&gt;AK29,2,IF(AI29&lt;AK29,0,1)))</f>
        <v>2</v>
      </c>
      <c r="AJ30" s="40" t="s">
        <v>16</v>
      </c>
      <c r="AK30" s="107">
        <f>IF(OR(AK29="",AK29=0),"",IF(AK29&gt;AI29,2,IF(AK29&lt;AI29,0,1)))</f>
        <v>0</v>
      </c>
      <c r="AL30" s="106">
        <f>IF(OR(AL29="",AL29=0),"",IF(AL29&gt;AN29,2,IF(AL29&lt;AN29,0,1)))</f>
        <v>2</v>
      </c>
      <c r="AM30" s="40" t="s">
        <v>16</v>
      </c>
      <c r="AN30" s="107">
        <f>IF(OR(AN29="",AN29=0),"",IF(AN29&gt;AL29,2,IF(AN29&lt;AL29,0,1)))</f>
        <v>0</v>
      </c>
      <c r="AO30" s="106">
        <f>IF(AT30="","",SUM(AF30,AI30,AL30))</f>
        <v>4</v>
      </c>
      <c r="AP30" s="40" t="s">
        <v>16</v>
      </c>
      <c r="AQ30" s="107">
        <f>IF(AT30="","",SUM(AH30,AK30,AN30))</f>
        <v>0</v>
      </c>
      <c r="AR30" s="199"/>
      <c r="AS30" s="109">
        <f>+(AO30-AQ30)+AO29/AQ29+AO30</f>
        <v>9.5094339622641506</v>
      </c>
      <c r="AT30" s="34" t="s">
        <v>17</v>
      </c>
    </row>
    <row r="31" spans="1:46" ht="15.2" customHeight="1">
      <c r="A31" s="34">
        <v>14</v>
      </c>
      <c r="C31" s="89" t="str">
        <f>IF(Daten!E28="","",Daten!E28)</f>
        <v/>
      </c>
      <c r="D31" s="90" t="str">
        <f>IF(Daten!F8="","",Daten!F8)</f>
        <v>Hessen</v>
      </c>
      <c r="E31" s="94">
        <f>IF(P25="","",P25)</f>
        <v>20</v>
      </c>
      <c r="F31" s="49" t="s">
        <v>15</v>
      </c>
      <c r="G31" s="95">
        <f>IF(N25="","",N25)</f>
        <v>46</v>
      </c>
      <c r="H31" s="94">
        <f>IF(P27="","",P27)</f>
        <v>45</v>
      </c>
      <c r="I31" s="49" t="s">
        <v>15</v>
      </c>
      <c r="J31" s="95">
        <f>IF(N27="","",N27)</f>
        <v>28</v>
      </c>
      <c r="K31" s="94">
        <f>IF(P29="","",P29)</f>
        <v>25</v>
      </c>
      <c r="L31" s="49" t="s">
        <v>15</v>
      </c>
      <c r="M31" s="95">
        <f>IF(N29="","",N29)</f>
        <v>51</v>
      </c>
      <c r="N31" s="91"/>
      <c r="O31" s="92"/>
      <c r="P31" s="93"/>
      <c r="Q31" s="94" t="str">
        <f>IF(ISERROR(VLOOKUP($A$4&amp;TEXT($A31,"00")&amp;TEXT(R$23,"00"),Samstag!$B$24:$T$162,16,FALSE)),"",VLOOKUP($A$4&amp;TEXT($A31,"00")&amp;TEXT(R$23,"00"),Samstag!$B$24:$T$162,16,FALSE))</f>
        <v/>
      </c>
      <c r="R31" s="49" t="s">
        <v>15</v>
      </c>
      <c r="S31" s="95" t="str">
        <f>IF(ISERROR(VLOOKUP($A$4&amp;TEXT($A31,"00")&amp;TEXT(R$23,"00"),Samstag!$B$24:$T$162,18,FALSE)),"",VLOOKUP($A$4&amp;TEXT($A31,"00")&amp;TEXT(R$23,"00"),Samstag!$B$24:$T$162,18,FALSE))</f>
        <v/>
      </c>
      <c r="T31" s="96">
        <f>IF(Y32="","",SUM(E31,H31,K31,N31,Q31))</f>
        <v>90</v>
      </c>
      <c r="U31" s="49" t="s">
        <v>15</v>
      </c>
      <c r="V31" s="97">
        <f>IF(Y32="","",SUM(G31,J31,M31,P31,S31))</f>
        <v>125</v>
      </c>
      <c r="W31" s="110">
        <f>IF(Y31="","",RANK(X32,($X$26,$X$28,$X$30,$X$32,$X$34),0))</f>
        <v>3</v>
      </c>
      <c r="Y31" s="99" t="s">
        <v>17</v>
      </c>
      <c r="AB31" s="34">
        <v>4</v>
      </c>
      <c r="AC31" s="34" t="str">
        <f>IF(W31="","",IF($W$25=4,$D$25,IF($W$27=4,$D$27,IF($W$29=4,$D$29,IF($W$31=4,$D$31,IF($W$33=4,$D$33,0))))))</f>
        <v>Berlin</v>
      </c>
      <c r="AD31" s="190">
        <v>2</v>
      </c>
      <c r="AE31" s="191" t="str">
        <f>IF(AC14="","5. "&amp;D5,AC14)</f>
        <v>Pfalz</v>
      </c>
      <c r="AF31" s="190">
        <f>+AK29</f>
        <v>31</v>
      </c>
      <c r="AG31" s="49" t="s">
        <v>15</v>
      </c>
      <c r="AH31" s="191">
        <f>+AI29</f>
        <v>37</v>
      </c>
      <c r="AI31" s="192"/>
      <c r="AJ31" s="179"/>
      <c r="AK31" s="193"/>
      <c r="AL31" s="190">
        <f>+M42</f>
        <v>44</v>
      </c>
      <c r="AM31" s="49" t="s">
        <v>15</v>
      </c>
      <c r="AN31" s="191">
        <f>+K42</f>
        <v>34</v>
      </c>
      <c r="AO31" s="96">
        <f>IF(AT32="","",SUM(AF31,AI31,AL31))</f>
        <v>75</v>
      </c>
      <c r="AP31" s="49" t="s">
        <v>15</v>
      </c>
      <c r="AQ31" s="97">
        <f>IF(AT32="","",SUM(AH31,AK31,AN31))</f>
        <v>71</v>
      </c>
      <c r="AR31" s="110">
        <f>IF(AT31="","",RANK(AS32,($AS$30,$AS$32,$AS$34),0))</f>
        <v>2</v>
      </c>
      <c r="AT31" s="34" t="s">
        <v>17</v>
      </c>
    </row>
    <row r="32" spans="1:46" ht="11.1" customHeight="1">
      <c r="C32" s="133"/>
      <c r="D32" s="136"/>
      <c r="E32" s="106">
        <f>IF(OR(E31="",E31=0),"",IF(E31&gt;G31,2,IF(E31&lt;G31,0,1)))</f>
        <v>0</v>
      </c>
      <c r="F32" s="40" t="s">
        <v>16</v>
      </c>
      <c r="G32" s="107">
        <f>IF(OR(G31="",G31=0),"",IF(G31&gt;E31,2,IF(G31&lt;E31,0,1)))</f>
        <v>2</v>
      </c>
      <c r="H32" s="106">
        <f>IF(OR(H31="",H31=0),"",IF(H31&gt;J31,2,IF(H31&lt;J31,0,1)))</f>
        <v>2</v>
      </c>
      <c r="I32" s="40" t="s">
        <v>16</v>
      </c>
      <c r="J32" s="107">
        <f>IF(OR(J31="",J31=0),"",IF(J31&gt;H31,2,IF(J31&lt;H31,0,1)))</f>
        <v>0</v>
      </c>
      <c r="K32" s="106">
        <f>IF(OR(K31="",K31=0),"",IF(K31&gt;M31,2,IF(K31&lt;M31,0,1)))</f>
        <v>0</v>
      </c>
      <c r="L32" s="40" t="s">
        <v>16</v>
      </c>
      <c r="M32" s="107">
        <f>IF(OR(M31="",M31=0),"",IF(M31&gt;K31,2,IF(M31&lt;K31,0,1)))</f>
        <v>2</v>
      </c>
      <c r="N32" s="103"/>
      <c r="O32" s="104"/>
      <c r="P32" s="105"/>
      <c r="Q32" s="106" t="str">
        <f>IF(OR(Q31="",Q31=0),"",IF(Q31&gt;S31,2,IF(Q31&lt;S31,0,1)))</f>
        <v/>
      </c>
      <c r="R32" s="40" t="s">
        <v>16</v>
      </c>
      <c r="S32" s="107" t="str">
        <f>IF(OR(S31="",S31=0),"",IF(S31&gt;Q31,2,IF(S31&lt;Q31,0,1)))</f>
        <v/>
      </c>
      <c r="T32" s="106">
        <f>IF(Y32="","",SUM(E32,H32,K32,N32,Q32))</f>
        <v>2</v>
      </c>
      <c r="U32" s="40" t="s">
        <v>16</v>
      </c>
      <c r="V32" s="107">
        <f>IF(Y32="","",SUM(G32,J32,M32,P32,S32))</f>
        <v>4</v>
      </c>
      <c r="W32" s="108"/>
      <c r="X32" s="109">
        <f>+(T32-V32)+T31/V31+T32</f>
        <v>0.72</v>
      </c>
      <c r="Y32" s="99" t="s">
        <v>17</v>
      </c>
      <c r="AD32" s="194"/>
      <c r="AE32" s="195"/>
      <c r="AF32" s="106">
        <f>IF(OR(AF31="",AF31=0),"",IF(AF31&gt;AH31,2,IF(AF31&lt;AH31,0,1)))</f>
        <v>0</v>
      </c>
      <c r="AG32" s="40" t="s">
        <v>16</v>
      </c>
      <c r="AH32" s="107">
        <f>IF(OR(AH31="",AH31=0),"",IF(AH31&gt;AF31,2,IF(AH31&lt;AF31,0,1)))</f>
        <v>2</v>
      </c>
      <c r="AI32" s="196"/>
      <c r="AJ32" s="197"/>
      <c r="AK32" s="198"/>
      <c r="AL32" s="106">
        <f>IF(OR(AL31="",AL31=0),"",IF(AL31&gt;AN31,2,IF(AL31&lt;AN31,0,1)))</f>
        <v>2</v>
      </c>
      <c r="AM32" s="40" t="s">
        <v>16</v>
      </c>
      <c r="AN32" s="107">
        <f>IF(OR(AN31="",AN31=0),"",IF(AN31&gt;AL31,2,IF(AN31&lt;AL31,0,1)))</f>
        <v>0</v>
      </c>
      <c r="AO32" s="106">
        <f>IF(AT32="","",SUM(AF32,AI32,AL32))</f>
        <v>2</v>
      </c>
      <c r="AP32" s="40" t="s">
        <v>16</v>
      </c>
      <c r="AQ32" s="107">
        <f>IF(AT32="","",SUM(AH32,AK32,AN32))</f>
        <v>2</v>
      </c>
      <c r="AR32" s="199"/>
      <c r="AS32" s="109">
        <f>+(AO32-AQ32)+AO31/AQ31+AO32</f>
        <v>3.056338028169014</v>
      </c>
      <c r="AT32" s="34" t="s">
        <v>17</v>
      </c>
    </row>
    <row r="33" spans="1:46" ht="15.2" customHeight="1">
      <c r="A33" s="34">
        <v>15</v>
      </c>
      <c r="C33" s="89" t="str">
        <f>IF(Daten!E29="","",Daten!E29)</f>
        <v/>
      </c>
      <c r="D33" s="90" t="str">
        <f>IF(Daten!F9="","",Daten!F9)</f>
        <v/>
      </c>
      <c r="E33" s="94" t="str">
        <f>IF(S25="","",S25)</f>
        <v/>
      </c>
      <c r="F33" s="49" t="s">
        <v>15</v>
      </c>
      <c r="G33" s="95" t="str">
        <f>IF(Q25="","",Q25)</f>
        <v/>
      </c>
      <c r="H33" s="94" t="str">
        <f>IF(S27="","",S27)</f>
        <v/>
      </c>
      <c r="I33" s="49" t="s">
        <v>15</v>
      </c>
      <c r="J33" s="95" t="str">
        <f>IF(Q27="","",Q27)</f>
        <v/>
      </c>
      <c r="K33" s="94" t="str">
        <f>IF(S29="","",S29)</f>
        <v/>
      </c>
      <c r="L33" s="49" t="s">
        <v>15</v>
      </c>
      <c r="M33" s="95" t="str">
        <f>IF(Q29="","",Q29)</f>
        <v/>
      </c>
      <c r="N33" s="94" t="str">
        <f>IF(S31="","",S31)</f>
        <v/>
      </c>
      <c r="O33" s="49" t="s">
        <v>15</v>
      </c>
      <c r="P33" s="95" t="str">
        <f>IF(Q31="","",Q31)</f>
        <v/>
      </c>
      <c r="Q33" s="91"/>
      <c r="R33" s="92"/>
      <c r="S33" s="93"/>
      <c r="T33" s="298" t="str">
        <f>IF(Y34="","",SUM(E33,H33,K33,N33,Q33))</f>
        <v/>
      </c>
      <c r="U33" s="49" t="s">
        <v>15</v>
      </c>
      <c r="V33" s="300" t="str">
        <f>IF(Y34="","",SUM(G33,J33,M33,P33,S33))</f>
        <v/>
      </c>
      <c r="W33" s="110" t="str">
        <f>IF(Y33="","",RANK(X34,($X$26,$X$28,$X$30,$X$32,$X$34),0))</f>
        <v/>
      </c>
      <c r="X33" s="34" t="s">
        <v>17</v>
      </c>
      <c r="Y33" s="99"/>
      <c r="AB33" s="34">
        <v>5</v>
      </c>
      <c r="AC33" s="34" t="str">
        <f>IF(W33="","",IF($W$25=5,$D$25,IF($W$27=5,$D$27,IF($W$29=5,$D$29,IF($W$31=5,$D$31,IF($W$33=5,$D$33,0))))))</f>
        <v/>
      </c>
      <c r="AD33" s="190">
        <v>3</v>
      </c>
      <c r="AE33" s="191" t="str">
        <f>IF(AC31="","4. "&amp;D24,AC31)</f>
        <v>Berlin</v>
      </c>
      <c r="AF33" s="190">
        <f>+AN29</f>
        <v>22</v>
      </c>
      <c r="AG33" s="49" t="s">
        <v>15</v>
      </c>
      <c r="AH33" s="191">
        <f>+AL29</f>
        <v>43</v>
      </c>
      <c r="AI33" s="190">
        <f>+AN31</f>
        <v>34</v>
      </c>
      <c r="AJ33" s="49" t="s">
        <v>15</v>
      </c>
      <c r="AK33" s="191">
        <f>+AL31</f>
        <v>44</v>
      </c>
      <c r="AL33" s="192"/>
      <c r="AM33" s="179"/>
      <c r="AN33" s="193"/>
      <c r="AO33" s="96">
        <f>IF(AT34="","",SUM(AF33,AI33,AL33))</f>
        <v>56</v>
      </c>
      <c r="AP33" s="49" t="s">
        <v>15</v>
      </c>
      <c r="AQ33" s="97">
        <f>IF(AT34="","",SUM(AH33,AK33,AN33))</f>
        <v>87</v>
      </c>
      <c r="AR33" s="110">
        <f>IF(AT33="","",RANK(AS34,($AS$30,$AS$32,$AS$34),0))</f>
        <v>3</v>
      </c>
      <c r="AT33" s="34" t="s">
        <v>17</v>
      </c>
    </row>
    <row r="34" spans="1:46" ht="11.1" customHeight="1">
      <c r="C34" s="135"/>
      <c r="D34" s="136"/>
      <c r="E34" s="106" t="str">
        <f>IF(OR(E33="",E33=0),"",IF(E33&gt;G33,2,IF(E33&lt;G33,0,1)))</f>
        <v/>
      </c>
      <c r="F34" s="40" t="s">
        <v>16</v>
      </c>
      <c r="G34" s="107" t="str">
        <f>IF(OR(G33="",G33=0),"",IF(G33&gt;E33,2,IF(G33&lt;E33,0,1)))</f>
        <v/>
      </c>
      <c r="H34" s="106" t="str">
        <f>IF(OR(H33="",H33=0),"",IF(H33&gt;J33,2,IF(H33&lt;J33,0,1)))</f>
        <v/>
      </c>
      <c r="I34" s="40" t="s">
        <v>16</v>
      </c>
      <c r="J34" s="107" t="str">
        <f>IF(OR(J33="",J33=0),"",IF(J33&gt;H33,2,IF(J33&lt;H33,0,1)))</f>
        <v/>
      </c>
      <c r="K34" s="106" t="str">
        <f>IF(OR(K33="",K33=0),"",IF(K33&gt;M33,2,IF(K33&lt;M33,0,1)))</f>
        <v/>
      </c>
      <c r="L34" s="40" t="s">
        <v>16</v>
      </c>
      <c r="M34" s="107" t="str">
        <f>IF(OR(M33="",M33=0),"",IF(M33&gt;K33,2,IF(M33&lt;K33,0,1)))</f>
        <v/>
      </c>
      <c r="N34" s="106" t="str">
        <f>IF(OR(N33="",N33=0),"",IF(N33&gt;P33,2,IF(N33&lt;P33,0,1)))</f>
        <v/>
      </c>
      <c r="O34" s="40" t="s">
        <v>16</v>
      </c>
      <c r="P34" s="107" t="str">
        <f>IF(OR(P33="",P33=0),"",IF(P33&gt;N33,2,IF(P33&lt;N33,0,1)))</f>
        <v/>
      </c>
      <c r="Q34" s="103"/>
      <c r="R34" s="104"/>
      <c r="S34" s="105"/>
      <c r="T34" s="299" t="str">
        <f>IF(Y34="","",SUM(E34,H34,K34,N34,Q34))</f>
        <v/>
      </c>
      <c r="U34" s="40" t="s">
        <v>16</v>
      </c>
      <c r="V34" s="301" t="str">
        <f>IF(Y34="","",SUM(G34,J34,M34,P34,S34))</f>
        <v/>
      </c>
      <c r="W34" s="108"/>
      <c r="X34" s="109"/>
      <c r="Y34" s="99"/>
      <c r="AD34" s="194"/>
      <c r="AE34" s="195"/>
      <c r="AF34" s="106">
        <f>IF(OR(AF33="",AF33=0),"",IF(AF33&gt;AH33,2,IF(AF33&lt;AH33,0,1)))</f>
        <v>0</v>
      </c>
      <c r="AG34" s="40" t="s">
        <v>16</v>
      </c>
      <c r="AH34" s="107">
        <f>IF(OR(AH33="",AH33=0),"",IF(AH33&gt;AF33,2,IF(AH33&lt;AF33,0,1)))</f>
        <v>2</v>
      </c>
      <c r="AI34" s="106">
        <f>IF(OR(AI33="",AI33=0),"",IF(AI33&gt;AK33,2,IF(AI33&lt;AK33,0,1)))</f>
        <v>0</v>
      </c>
      <c r="AJ34" s="40" t="s">
        <v>16</v>
      </c>
      <c r="AK34" s="107">
        <f>IF(OR(AK33="",AK33=0),"",IF(AK33&gt;AI33,2,IF(AK33&lt;AI33,0,1)))</f>
        <v>2</v>
      </c>
      <c r="AL34" s="196"/>
      <c r="AM34" s="197"/>
      <c r="AN34" s="198"/>
      <c r="AO34" s="106">
        <f>IF(AT34="","",SUM(AF34,AI34,AL34))</f>
        <v>0</v>
      </c>
      <c r="AP34" s="40" t="s">
        <v>16</v>
      </c>
      <c r="AQ34" s="107">
        <f>IF(AT34="","",SUM(AH34,AK34,AN34))</f>
        <v>4</v>
      </c>
      <c r="AR34" s="199"/>
      <c r="AS34" s="109">
        <f>+(AO34-AQ34)+AO33/AQ33+AO34</f>
        <v>-3.3563218390804597</v>
      </c>
      <c r="AT34" s="34" t="s">
        <v>17</v>
      </c>
    </row>
    <row r="35" spans="1:46" ht="10.15" hidden="1" customHeight="1" outlineLevel="1">
      <c r="C35" s="137"/>
      <c r="D35" s="113"/>
      <c r="E35" s="114"/>
      <c r="F35" s="49"/>
      <c r="G35" s="115"/>
      <c r="H35" s="114"/>
      <c r="I35" s="49"/>
      <c r="J35" s="115"/>
      <c r="K35" s="114"/>
      <c r="L35" s="49"/>
      <c r="M35" s="115"/>
      <c r="N35" s="114"/>
      <c r="O35" s="49"/>
      <c r="P35" s="115"/>
      <c r="Q35" s="116"/>
      <c r="R35" s="116"/>
      <c r="S35" s="116"/>
      <c r="T35" s="114"/>
      <c r="U35" s="49"/>
      <c r="V35" s="115"/>
      <c r="W35" s="117"/>
      <c r="X35" s="109"/>
      <c r="Y35" s="99" t="s">
        <v>17</v>
      </c>
      <c r="AT35" s="34" t="s">
        <v>17</v>
      </c>
    </row>
    <row r="36" spans="1:46" ht="10.15" hidden="1" customHeight="1" outlineLevel="1">
      <c r="C36" s="118" t="s">
        <v>18</v>
      </c>
      <c r="D36" s="119" t="str">
        <f>+D25</f>
        <v>Bremen</v>
      </c>
      <c r="E36" s="120"/>
      <c r="F36" s="121"/>
      <c r="G36" s="122"/>
      <c r="H36" s="123"/>
      <c r="I36" s="124" t="s">
        <v>15</v>
      </c>
      <c r="J36" s="125"/>
      <c r="K36" s="123"/>
      <c r="L36" s="124" t="s">
        <v>15</v>
      </c>
      <c r="M36" s="125"/>
      <c r="N36" s="123"/>
      <c r="O36" s="124" t="s">
        <v>15</v>
      </c>
      <c r="P36" s="125"/>
      <c r="Q36" s="126"/>
      <c r="R36" s="124" t="s">
        <v>15</v>
      </c>
      <c r="S36" s="127"/>
      <c r="T36" s="37"/>
      <c r="U36" s="38"/>
      <c r="V36" s="42"/>
      <c r="W36" s="41"/>
      <c r="X36" s="109"/>
      <c r="Y36" s="99"/>
    </row>
    <row r="37" spans="1:46" ht="10.15" hidden="1" customHeight="1" outlineLevel="1">
      <c r="C37" s="128"/>
      <c r="D37" s="119" t="str">
        <f>+D27</f>
        <v>Berlin</v>
      </c>
      <c r="E37" s="123" t="str">
        <f>IF(J36="","",J36)</f>
        <v/>
      </c>
      <c r="F37" s="124" t="s">
        <v>15</v>
      </c>
      <c r="G37" s="125" t="str">
        <f>IF(H36="","",H36)</f>
        <v/>
      </c>
      <c r="H37" s="120"/>
      <c r="I37" s="121"/>
      <c r="J37" s="122"/>
      <c r="K37" s="123"/>
      <c r="L37" s="124" t="s">
        <v>15</v>
      </c>
      <c r="M37" s="125"/>
      <c r="N37" s="123"/>
      <c r="O37" s="124" t="s">
        <v>15</v>
      </c>
      <c r="P37" s="125"/>
      <c r="Q37" s="126"/>
      <c r="R37" s="124" t="s">
        <v>15</v>
      </c>
      <c r="S37" s="127"/>
      <c r="T37" s="37"/>
      <c r="U37" s="38"/>
      <c r="V37" s="42"/>
      <c r="W37" s="41"/>
      <c r="X37" s="109"/>
      <c r="Y37" s="99"/>
    </row>
    <row r="38" spans="1:46" ht="10.15" hidden="1" customHeight="1" outlineLevel="1">
      <c r="C38" s="128"/>
      <c r="D38" s="119" t="str">
        <f>+D29</f>
        <v>Schwaben</v>
      </c>
      <c r="E38" s="123" t="str">
        <f>IF(M36="","",M36)</f>
        <v/>
      </c>
      <c r="F38" s="124" t="s">
        <v>15</v>
      </c>
      <c r="G38" s="125" t="str">
        <f>IF(K36="","",K36)</f>
        <v/>
      </c>
      <c r="H38" s="123" t="str">
        <f>IF(M37="","",M37)</f>
        <v/>
      </c>
      <c r="I38" s="124" t="s">
        <v>15</v>
      </c>
      <c r="J38" s="125" t="str">
        <f>IF(K37="","",K37)</f>
        <v/>
      </c>
      <c r="K38" s="120"/>
      <c r="L38" s="121"/>
      <c r="M38" s="122"/>
      <c r="N38" s="123"/>
      <c r="O38" s="124" t="s">
        <v>15</v>
      </c>
      <c r="P38" s="125"/>
      <c r="Q38" s="126"/>
      <c r="R38" s="124" t="s">
        <v>15</v>
      </c>
      <c r="S38" s="127"/>
      <c r="T38" s="37"/>
      <c r="U38" s="38"/>
      <c r="V38" s="42"/>
      <c r="W38" s="41"/>
      <c r="X38" s="109"/>
      <c r="Y38" s="99"/>
    </row>
    <row r="39" spans="1:46" ht="10.15" hidden="1" customHeight="1" outlineLevel="1">
      <c r="C39" s="128"/>
      <c r="D39" s="119" t="str">
        <f>+D31</f>
        <v>Hessen</v>
      </c>
      <c r="E39" s="123" t="str">
        <f>IF(P36="","",P36)</f>
        <v/>
      </c>
      <c r="F39" s="124" t="s">
        <v>15</v>
      </c>
      <c r="G39" s="125" t="str">
        <f>IF(N36="","",N36)</f>
        <v/>
      </c>
      <c r="H39" s="123" t="str">
        <f>IF(P37="","",P37)</f>
        <v/>
      </c>
      <c r="I39" s="124" t="s">
        <v>15</v>
      </c>
      <c r="J39" s="125" t="str">
        <f>IF(N37="","",N37)</f>
        <v/>
      </c>
      <c r="K39" s="123" t="str">
        <f>IF(P38="","",P38)</f>
        <v/>
      </c>
      <c r="L39" s="124" t="s">
        <v>15</v>
      </c>
      <c r="M39" s="125" t="str">
        <f>IF(N38="","",N38)</f>
        <v/>
      </c>
      <c r="N39" s="120"/>
      <c r="O39" s="121"/>
      <c r="P39" s="122"/>
      <c r="Q39" s="138"/>
      <c r="R39" s="124" t="s">
        <v>15</v>
      </c>
      <c r="S39" s="127"/>
      <c r="T39" s="37"/>
      <c r="U39" s="38"/>
      <c r="V39" s="42"/>
      <c r="W39" s="41"/>
      <c r="X39" s="109"/>
      <c r="Y39" s="99"/>
    </row>
    <row r="40" spans="1:46" ht="10.15" hidden="1" customHeight="1" outlineLevel="1">
      <c r="D40" s="119" t="str">
        <f>+D33</f>
        <v/>
      </c>
      <c r="E40" s="123" t="str">
        <f>IF(S36="","",S36)</f>
        <v/>
      </c>
      <c r="F40" s="124" t="s">
        <v>15</v>
      </c>
      <c r="G40" s="125" t="str">
        <f>IF(Q36="","",Q36)</f>
        <v/>
      </c>
      <c r="H40" s="123" t="str">
        <f>IF(S37="","",S37)</f>
        <v/>
      </c>
      <c r="I40" s="124" t="s">
        <v>15</v>
      </c>
      <c r="J40" s="125" t="str">
        <f>IF(Q37="","",Q37)</f>
        <v/>
      </c>
      <c r="K40" s="123" t="str">
        <f>IF(S38="","",S38)</f>
        <v/>
      </c>
      <c r="L40" s="124" t="s">
        <v>15</v>
      </c>
      <c r="M40" s="125" t="str">
        <f>IF(Q38="","",Q38)</f>
        <v/>
      </c>
      <c r="N40" s="139" t="str">
        <f>IF(S39="","",S39)</f>
        <v/>
      </c>
      <c r="O40" s="124" t="s">
        <v>15</v>
      </c>
      <c r="P40" s="125" t="str">
        <f>IF(Q39="","",Q39)</f>
        <v/>
      </c>
      <c r="Q40" s="120"/>
      <c r="R40" s="129"/>
      <c r="S40" s="122"/>
    </row>
    <row r="41" spans="1:46" ht="18" customHeight="1" collapsed="1">
      <c r="B41" s="99"/>
      <c r="C41" s="175" t="s">
        <v>209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</row>
    <row r="42" spans="1:46" ht="17.25" customHeight="1">
      <c r="A42" s="39" t="s">
        <v>182</v>
      </c>
      <c r="B42" s="34" t="s">
        <v>28</v>
      </c>
      <c r="C42" s="140" t="str">
        <f>"5."&amp;+$D$5&amp;"  4."&amp;+$D$24</f>
        <v>5.Gruppe A  4.Gruppe B</v>
      </c>
      <c r="D42" s="141" t="str">
        <f ca="1">"  "&amp;IF(Y32="","",IF(ISERROR(VLOOKUP($A$4&amp;TEXT($A42,"000"),Sonntag!$B$23:$S$161,8,FALSE)),"",VLOOKUP($A$4&amp;TEXT($A42,"000"),Sonntag!$B$23:$S$161,8,FALSE)))&amp;" : "&amp;IF(Y32="","",IF(ISERROR(VLOOKUP($A$4&amp;TEXT($A42,"000"),Sonntag!$B$23:$S$161,11,FALSE)),"",VLOOKUP($A$4&amp;TEXT($A42,"000"),Sonntag!$B$23:$S$161,11,FALSE)))</f>
        <v xml:space="preserve">  Berlin : Pfalz</v>
      </c>
      <c r="E42" s="142"/>
      <c r="F42" s="142"/>
      <c r="G42" s="142"/>
      <c r="H42" s="142"/>
      <c r="I42" s="143"/>
      <c r="J42" s="144"/>
      <c r="K42" s="145">
        <f>IF(N42="","",IF(ISERROR(VLOOKUP($A$4&amp;TEXT($A$42,"000"),Sonntag!$B$23:$S$93,16,FALSE)),"",VLOOKUP($A$4&amp;TEXT($A42,"000"),Sonntag!$B$23:$S$93,16,FALSE)))</f>
        <v>34</v>
      </c>
      <c r="L42" s="48" t="s">
        <v>15</v>
      </c>
      <c r="M42" s="146">
        <f>IF(N42="","",IF(ISERROR(VLOOKUP($A$4&amp;TEXT($A$42,"000"),Sonntag!$B$23:$S$93,18,FALSE)),"",VLOOKUP($A$4&amp;TEXT($A42,"000"),Sonntag!$B$23:$S$93,18,FALSE)))</f>
        <v>44</v>
      </c>
      <c r="N42" s="147" t="s">
        <v>17</v>
      </c>
      <c r="O42" s="72"/>
      <c r="P42" s="53"/>
      <c r="AC42" s="148">
        <f>IF(K42="","",IF(K42&gt;M42,2,IF(K42&lt;M42,0,1)))</f>
        <v>0</v>
      </c>
    </row>
    <row r="43" spans="1:46" ht="4.7" customHeight="1">
      <c r="A43" s="39"/>
      <c r="B43" s="149"/>
      <c r="C43" s="36"/>
      <c r="D43" s="53"/>
      <c r="E43" s="150"/>
      <c r="F43" s="151"/>
      <c r="G43" s="150"/>
      <c r="H43" s="150"/>
      <c r="I43" s="150"/>
      <c r="J43" s="150"/>
      <c r="K43" s="186"/>
      <c r="M43" s="46"/>
      <c r="N43" s="152"/>
    </row>
    <row r="44" spans="1:46" ht="17.25" customHeight="1">
      <c r="A44" s="39" t="s">
        <v>183</v>
      </c>
      <c r="B44" s="34" t="s">
        <v>29</v>
      </c>
      <c r="C44" s="140" t="str">
        <f>"4."&amp;+$D$5&amp;"  5."&amp;+$D$5</f>
        <v>4.Gruppe A  5.Gruppe A</v>
      </c>
      <c r="D44" s="141" t="str">
        <f ca="1">"  "&amp;IF(Y32="","",IF(ISERROR(VLOOKUP($A$4&amp;TEXT($A44,"000"),Sonntag!$B$23:$S$161,8,FALSE)),"",VLOOKUP($A$4&amp;TEXT($A44,"000"),Sonntag!$B$23:$S$161,8,FALSE)))&amp;" : "&amp;IF(Y32="","",IF(ISERROR(VLOOKUP($A$4&amp;TEXT($A44,"000"),Sonntag!$B$23:$S$161,11,FALSE)),"",VLOOKUP($A$4&amp;TEXT($A44,"000"),Sonntag!$B$23:$S$161,11,FALSE)))</f>
        <v xml:space="preserve">  Rheinland : Pfalz</v>
      </c>
      <c r="E44" s="142"/>
      <c r="F44" s="142"/>
      <c r="G44" s="142"/>
      <c r="H44" s="142"/>
      <c r="I44" s="143"/>
      <c r="J44" s="144"/>
      <c r="K44" s="145">
        <f>IF(N44="","",IF(ISERROR(VLOOKUP($A$4&amp;TEXT($A$42,"000"),Sonntag!$B$23:$S$93,16,FALSE)),"",VLOOKUP($A$4&amp;TEXT($A44,"000"),Sonntag!$B$23:$S$93,16,FALSE)))</f>
        <v>37</v>
      </c>
      <c r="L44" s="48" t="s">
        <v>15</v>
      </c>
      <c r="M44" s="146">
        <f>IF(N44="","",IF(ISERROR(VLOOKUP($A$4&amp;TEXT($A$42,"000"),Sonntag!$B$23:$S$93,18,FALSE)),"",VLOOKUP($A$4&amp;TEXT($A44,"000"),Sonntag!$B$23:$S$93,18,FALSE)))</f>
        <v>31</v>
      </c>
      <c r="N44" s="147" t="s">
        <v>17</v>
      </c>
      <c r="O44" s="72"/>
      <c r="AC44" s="148">
        <f>IF(K44="","",IF(K44&gt;M44,2,IF(K44&lt;M44,0,1)))</f>
        <v>2</v>
      </c>
    </row>
    <row r="45" spans="1:46" ht="4.7" customHeight="1">
      <c r="A45" s="39"/>
      <c r="C45" s="187"/>
      <c r="D45" s="53"/>
      <c r="E45" s="150"/>
      <c r="F45" s="150"/>
      <c r="G45" s="150"/>
      <c r="H45" s="150"/>
      <c r="I45" s="151"/>
      <c r="J45" s="150"/>
      <c r="K45" s="181"/>
      <c r="L45" s="59"/>
      <c r="M45" s="182"/>
      <c r="N45" s="147"/>
      <c r="O45" s="72"/>
      <c r="AC45" s="148"/>
    </row>
    <row r="46" spans="1:46" ht="17.25" customHeight="1">
      <c r="A46" s="39" t="s">
        <v>184</v>
      </c>
      <c r="C46" s="140" t="str">
        <f>"4."&amp;+$D$24&amp;"  4."&amp;+$D$5</f>
        <v>4.Gruppe B  4.Gruppe A</v>
      </c>
      <c r="D46" s="141" t="str">
        <f ca="1">"  "&amp;IF(Y32="","",IF(ISERROR(VLOOKUP($A$4&amp;TEXT($A46,"000"),Sonntag!$B$23:$S$161,8,FALSE)),"",VLOOKUP($A$4&amp;TEXT($A46,"000"),Sonntag!$B$23:$S$161,8,FALSE)))&amp;" : "&amp;IF(Y32="","",IF(ISERROR(VLOOKUP($A$4&amp;TEXT($A46,"000"),Sonntag!$B$23:$S$161,11,FALSE)),"",VLOOKUP($A$4&amp;TEXT($A46,"000"),Sonntag!$B$23:$S$161,11,FALSE)))</f>
        <v xml:space="preserve">  Rheinland : Berlin</v>
      </c>
      <c r="E46" s="142"/>
      <c r="F46" s="142"/>
      <c r="G46" s="142"/>
      <c r="H46" s="142"/>
      <c r="I46" s="143"/>
      <c r="J46" s="144"/>
      <c r="K46" s="145">
        <f>IF(N46="","",IF(ISERROR(VLOOKUP($A$4&amp;TEXT($A$42,"000"),Sonntag!$B$23:$S$93,16,FALSE)),"",VLOOKUP($A$4&amp;TEXT($A46,"000"),Sonntag!$B$23:$S$93,16,FALSE)))</f>
        <v>43</v>
      </c>
      <c r="L46" s="48" t="s">
        <v>15</v>
      </c>
      <c r="M46" s="146">
        <f>IF(N46="","",IF(ISERROR(VLOOKUP($A$4&amp;TEXT($A$42,"000"),Sonntag!$B$23:$S$93,18,FALSE)),"",VLOOKUP($A$4&amp;TEXT($A46,"000"),Sonntag!$B$23:$S$93,18,FALSE)))</f>
        <v>22</v>
      </c>
      <c r="N46" s="147" t="s">
        <v>17</v>
      </c>
      <c r="O46" s="72"/>
      <c r="AC46" s="148"/>
    </row>
    <row r="47" spans="1:46" ht="18" customHeight="1">
      <c r="A47" s="39"/>
      <c r="B47" s="99"/>
      <c r="C47" s="175" t="s">
        <v>20</v>
      </c>
      <c r="D47" s="153"/>
      <c r="E47" s="150"/>
      <c r="F47" s="151"/>
      <c r="G47" s="150"/>
      <c r="H47" s="150"/>
      <c r="I47" s="150"/>
      <c r="J47" s="150"/>
      <c r="K47" s="186"/>
      <c r="M47" s="46"/>
      <c r="N47" s="152"/>
      <c r="Q47" s="41"/>
      <c r="R47" s="41"/>
      <c r="S47" s="41"/>
      <c r="T47" s="41"/>
      <c r="U47" s="41"/>
      <c r="V47" s="41"/>
      <c r="W47" s="41"/>
    </row>
    <row r="48" spans="1:46" ht="17.25" customHeight="1">
      <c r="A48" s="39" t="s">
        <v>43</v>
      </c>
      <c r="B48" s="34" t="s">
        <v>21</v>
      </c>
      <c r="C48" s="140" t="str">
        <f>"2."&amp;+$D$5&amp;"  3."&amp;+$D$24</f>
        <v>2.Gruppe A  3.Gruppe B</v>
      </c>
      <c r="D48" s="141" t="str">
        <f ca="1">"  "&amp;IF(Y31="","",IF(ISERROR(VLOOKUP($A$4&amp;TEXT($A48,"000"),Sonntag!$B$23:$S$161,8,FALSE)),"",VLOOKUP($A$4&amp;TEXT($A48,"000"),Sonntag!$B$23:$S$161,8,FALSE)))&amp;" : "&amp;IF(Y31="","",IF(ISERROR(VLOOKUP($A$4&amp;TEXT($A48,"000"),Sonntag!$B$23:$S$161,11,FALSE)),"",VLOOKUP($A$4&amp;TEXT($A48,"000"),Sonntag!$B$23:$S$161,11,FALSE)))</f>
        <v xml:space="preserve">  Niedersachsen : Hessen</v>
      </c>
      <c r="E48" s="142"/>
      <c r="F48" s="142"/>
      <c r="G48" s="142"/>
      <c r="H48" s="142"/>
      <c r="I48" s="143"/>
      <c r="J48" s="144"/>
      <c r="K48" s="145">
        <f>IF(N48="","",IF(ISERROR(VLOOKUP($A$4&amp;TEXT($A$42,"000"),Sonntag!$B$23:$S$93,16,FALSE)),"",VLOOKUP($A$4&amp;TEXT($A48,"000"),Sonntag!$B$23:$S$93,16,FALSE)))</f>
        <v>52</v>
      </c>
      <c r="L48" s="48" t="s">
        <v>15</v>
      </c>
      <c r="M48" s="146">
        <f>IF(N48="","",IF(ISERROR(VLOOKUP($A$4&amp;TEXT($A$42,"000"),Sonntag!$B$23:$S$93,18,FALSE)),"",VLOOKUP($A$4&amp;TEXT($A48,"000"),Sonntag!$B$23:$S$93,18,FALSE)))</f>
        <v>16</v>
      </c>
      <c r="N48" s="152" t="s">
        <v>17</v>
      </c>
      <c r="P48" s="67" t="s">
        <v>19</v>
      </c>
      <c r="Q48" s="154"/>
      <c r="R48" s="154"/>
      <c r="S48" s="154"/>
      <c r="T48" s="154"/>
      <c r="U48" s="154"/>
      <c r="V48" s="154"/>
      <c r="W48" s="154"/>
      <c r="AC48" s="148">
        <f>IF(K48="","",IF(K48&gt;M48,2,IF(K48&lt;M48,0,1)))</f>
        <v>2</v>
      </c>
    </row>
    <row r="49" spans="1:29" ht="4.7" customHeight="1">
      <c r="A49" s="39"/>
      <c r="B49" s="99"/>
      <c r="C49" s="51"/>
      <c r="D49" s="153"/>
      <c r="E49" s="150"/>
      <c r="F49" s="150"/>
      <c r="G49" s="150"/>
      <c r="H49" s="150"/>
      <c r="I49" s="151"/>
      <c r="J49" s="150"/>
      <c r="K49" s="162"/>
      <c r="L49" s="163"/>
      <c r="M49" s="164"/>
      <c r="N49" s="152"/>
      <c r="Q49" s="41"/>
      <c r="R49" s="41"/>
      <c r="S49" s="41"/>
      <c r="T49" s="41"/>
      <c r="U49" s="41"/>
      <c r="V49" s="41"/>
      <c r="W49" s="41"/>
    </row>
    <row r="50" spans="1:29" ht="17.25" customHeight="1">
      <c r="A50" s="39" t="s">
        <v>44</v>
      </c>
      <c r="B50" s="34" t="s">
        <v>22</v>
      </c>
      <c r="C50" s="140" t="str">
        <f>"2."&amp;+$D$24&amp;"  3."&amp;+$D$5</f>
        <v>2.Gruppe B  3.Gruppe A</v>
      </c>
      <c r="D50" s="141" t="str">
        <f ca="1">"  "&amp;IF(Y31="","",IF(ISERROR(VLOOKUP($A$4&amp;TEXT($A50,"000"),Sonntag!$B$23:$S$161,8,FALSE)),"",VLOOKUP($A$4&amp;TEXT($A50,"000"),Sonntag!$B$23:$S$161,8,FALSE)))&amp;" : "&amp;IF(Y31="","",IF(ISERROR(VLOOKUP($A$4&amp;TEXT($A50,"000"),Sonntag!$B$23:$S$161,11,FALSE)),"",VLOOKUP($A$4&amp;TEXT($A50,"000"),Sonntag!$B$23:$S$161,11,FALSE)))</f>
        <v xml:space="preserve">  Schwaben : Baden</v>
      </c>
      <c r="E50" s="142"/>
      <c r="F50" s="142"/>
      <c r="G50" s="142"/>
      <c r="H50" s="142"/>
      <c r="I50" s="143"/>
      <c r="J50" s="144"/>
      <c r="K50" s="145">
        <f>IF(N50="","",IF(ISERROR(VLOOKUP($A$4&amp;TEXT($A$42,"000"),Sonntag!$B$23:$S$93,16,FALSE)),"",VLOOKUP($A$4&amp;TEXT($A50,"000"),Sonntag!$B$23:$S$93,16,FALSE)))</f>
        <v>31</v>
      </c>
      <c r="L50" s="48" t="s">
        <v>15</v>
      </c>
      <c r="M50" s="146">
        <f>IF(N50="","",IF(ISERROR(VLOOKUP($A$4&amp;TEXT($A$42,"000"),Sonntag!$B$23:$S$93,18,FALSE)),"",VLOOKUP($A$4&amp;TEXT($A50,"000"),Sonntag!$B$23:$S$93,18,FALSE)))</f>
        <v>28</v>
      </c>
      <c r="N50" s="152" t="s">
        <v>17</v>
      </c>
      <c r="P50" s="178">
        <v>1</v>
      </c>
      <c r="Q50" s="305" t="str">
        <f ca="1">"  "&amp;IF(K63&gt;M63,IF($Y50="","",IF(ISERROR(VLOOKUP($A$4&amp;TEXT($A63,"000"),Sonntag!$B$23:$T$139,8,FALSE)),"",VLOOKUP($A$4&amp;TEXT($A63,"000"),Sonntag!$B$23:$T$139,8,FALSE))),IF($Y50="","",IF(ISERROR(VLOOKUP($A$4&amp;TEXT($A63,"000"),Sonntag!$B$23:$T$139,11,FALSE)),"",VLOOKUP($A$4&amp;TEXT($A63,"000"),Sonntag!$B$23:$T$139,11,FALSE))))</f>
        <v xml:space="preserve">  Westfalen</v>
      </c>
      <c r="R50" s="155"/>
      <c r="S50" s="155"/>
      <c r="T50" s="155"/>
      <c r="U50" s="155"/>
      <c r="V50" s="155"/>
      <c r="W50" s="156"/>
      <c r="Y50" s="34" t="s">
        <v>17</v>
      </c>
      <c r="AC50" s="148">
        <f>IF(K50="","",IF(K50&gt;M50,2,IF(K50&lt;M50,0,1)))</f>
        <v>2</v>
      </c>
    </row>
    <row r="51" spans="1:29" ht="18" customHeight="1">
      <c r="B51" s="99"/>
      <c r="C51" s="175" t="s">
        <v>210</v>
      </c>
      <c r="D51" s="153"/>
      <c r="E51" s="150"/>
      <c r="F51" s="150"/>
      <c r="G51" s="150"/>
      <c r="H51" s="150"/>
      <c r="I51" s="151"/>
      <c r="J51" s="150"/>
      <c r="K51" s="186"/>
      <c r="M51" s="46"/>
      <c r="N51" s="152"/>
      <c r="P51" s="157">
        <v>2</v>
      </c>
      <c r="Q51" s="53" t="str">
        <f ca="1">"  "&amp;IF(K63&lt;M63,IF($Y51="","",IF(ISERROR(VLOOKUP($A$4&amp;TEXT($A63,"000"),Sonntag!$B$23:$T$139,8,FALSE)),"",VLOOKUP($A$4&amp;TEXT($A63,"000"),Sonntag!$B$23:$T$139,8,FALSE))),IF($Y51="","",IF(ISERROR(VLOOKUP($A$4&amp;TEXT($A63,"000"),Sonntag!$B$23:$T$139,11,FALSE)),"",VLOOKUP($A$4&amp;TEXT($A63,"000"),Sonntag!$B$23:$T$139,11,FALSE))))</f>
        <v xml:space="preserve">  Bremen</v>
      </c>
      <c r="R51" s="53"/>
      <c r="S51" s="53"/>
      <c r="T51" s="53"/>
      <c r="U51" s="53"/>
      <c r="V51" s="53"/>
      <c r="W51" s="158"/>
      <c r="Y51" s="34" t="s">
        <v>17</v>
      </c>
      <c r="AC51" s="159"/>
    </row>
    <row r="52" spans="1:29" ht="17.25" customHeight="1">
      <c r="A52" s="39" t="s">
        <v>299</v>
      </c>
      <c r="C52" s="200" t="str">
        <f>"Ver."&amp;+$B$42&amp;"  Ver."&amp;+$B$44&amp;" Pl. 7-8"</f>
        <v>Ver.a  Ver.b Pl. 7-8</v>
      </c>
      <c r="D52" s="180" t="str">
        <f>"  "&amp;IF(N52="","",IF(ISERROR(VLOOKUP($A$4&amp;TEXT($A52,"000"),Sonntag!$B$23:$S$161,8,FALSE)),"",VLOOKUP($A$4&amp;TEXT($A52,"000"),Sonntag!$B$23:$S$161,8,FALSE)))&amp;" : "&amp;IF(N52="","",IF(ISERROR(VLOOKUP($A$4&amp;TEXT($A52,"000"),Sonntag!$B$23:$S$161,11,FALSE)),"",VLOOKUP($A$4&amp;TEXT($A52,"000"),Sonntag!$B$23:$S$161,11,FALSE)))</f>
        <v xml:space="preserve">   : </v>
      </c>
      <c r="E52" s="160"/>
      <c r="F52" s="142"/>
      <c r="G52" s="142"/>
      <c r="H52" s="142"/>
      <c r="I52" s="142"/>
      <c r="J52" s="144"/>
      <c r="K52" s="145" t="str">
        <f>IF(N52="","",IF(ISERROR(VLOOKUP($A$4&amp;TEXT($A$42,"000"),Sonntag!$B$23:$S$93,16,FALSE)),"",VLOOKUP($A$4&amp;TEXT($A52,"000"),Sonntag!$B$23:$S$93,16,FALSE)))</f>
        <v/>
      </c>
      <c r="L52" s="48" t="s">
        <v>15</v>
      </c>
      <c r="M52" s="146" t="str">
        <f>IF(N52="","",IF(ISERROR(VLOOKUP($A$4&amp;TEXT($A$42,"000"),Sonntag!$B$23:$S$93,18,FALSE)),"",VLOOKUP($A$4&amp;TEXT($A52,"000"),Sonntag!$B$23:$S$93,18,FALSE)))</f>
        <v/>
      </c>
      <c r="N52" s="152"/>
      <c r="P52" s="157">
        <v>3</v>
      </c>
      <c r="Q52" s="53" t="str">
        <f ca="1">"  "&amp;IF(K60&gt;M60,IF($Y52="","",IF(ISERROR(VLOOKUP($A$4&amp;TEXT($A60,"000"),Sonntag!$B$23:$T$139,8,FALSE)),"",VLOOKUP($A$4&amp;TEXT($A60,"000"),Sonntag!$B$23:$T$139,8,FALSE))),IF($Y52="","",IF(ISERROR(VLOOKUP($A$4&amp;TEXT($A60,"000"),Sonntag!$B$23:$T$139,11,FALSE)),"",VLOOKUP($A$4&amp;TEXT($A60,"000"),Sonntag!$B$23:$T$139,11,FALSE))))</f>
        <v xml:space="preserve">  Niedersachsen</v>
      </c>
      <c r="R52" s="53"/>
      <c r="S52" s="53"/>
      <c r="T52" s="53"/>
      <c r="U52" s="53"/>
      <c r="V52" s="53"/>
      <c r="W52" s="158"/>
      <c r="Y52" s="34" t="s">
        <v>17</v>
      </c>
      <c r="AC52" s="148"/>
    </row>
    <row r="53" spans="1:29" ht="4.7" customHeight="1">
      <c r="C53" s="159"/>
      <c r="D53" s="153"/>
      <c r="E53" s="153"/>
      <c r="F53" s="151"/>
      <c r="G53" s="150"/>
      <c r="H53" s="150"/>
      <c r="I53" s="150"/>
      <c r="J53" s="150"/>
      <c r="K53" s="162"/>
      <c r="L53" s="163"/>
      <c r="M53" s="164"/>
      <c r="N53" s="152"/>
      <c r="P53" s="157"/>
      <c r="Q53" s="161"/>
      <c r="R53" s="53"/>
      <c r="S53" s="53"/>
      <c r="T53" s="53"/>
      <c r="U53" s="53"/>
      <c r="V53" s="53"/>
      <c r="W53" s="158"/>
      <c r="X53" s="159"/>
      <c r="AC53" s="148"/>
    </row>
    <row r="54" spans="1:29" ht="17.25" customHeight="1">
      <c r="A54" s="39" t="s">
        <v>240</v>
      </c>
      <c r="C54" s="140" t="str">
        <f>"Ver."&amp;+$B$48&amp;"  Ver."&amp;+$B$50&amp;" Pl. 5-6"</f>
        <v>Ver.c  Ver.d Pl. 5-6</v>
      </c>
      <c r="D54" s="141" t="str">
        <f ca="1">"  "&amp;IF(N48="","",IF(ISERROR(VLOOKUP($A$4&amp;TEXT($A54,"000"),Sonntag!$B$23:$S$161,8,FALSE)),"",VLOOKUP($A$4&amp;TEXT($A54,"000"),Sonntag!$B$23:$S$161,8,FALSE)))&amp;" : "&amp;IF(N50="","",IF(ISERROR(VLOOKUP($A$4&amp;TEXT($A54,"000"),Sonntag!$B$23:$S$161,11,FALSE)),"",VLOOKUP($A$4&amp;TEXT($A54,"000"),Sonntag!$B$23:$S$161,11,FALSE)))</f>
        <v xml:space="preserve">  Hessen : Baden</v>
      </c>
      <c r="E54" s="160"/>
      <c r="F54" s="142"/>
      <c r="G54" s="142"/>
      <c r="H54" s="142"/>
      <c r="I54" s="143"/>
      <c r="J54" s="144"/>
      <c r="K54" s="145">
        <f>IF(N54="","",IF(ISERROR(VLOOKUP($A$4&amp;TEXT($A$42,"000"),Sonntag!$B$23:$S$93,16,FALSE)),"",VLOOKUP($A$4&amp;TEXT($A54,"000"),Sonntag!$B$23:$S$93,16,FALSE)))</f>
        <v>29</v>
      </c>
      <c r="L54" s="48" t="s">
        <v>15</v>
      </c>
      <c r="M54" s="146">
        <f>IF(N54="","",IF(ISERROR(VLOOKUP($A$4&amp;TEXT($A$42,"000"),Sonntag!$B$23:$S$93,18,FALSE)),"",VLOOKUP($A$4&amp;TEXT($A54,"000"),Sonntag!$B$23:$S$93,18,FALSE)))</f>
        <v>36</v>
      </c>
      <c r="N54" s="152" t="s">
        <v>17</v>
      </c>
      <c r="P54" s="157">
        <v>4</v>
      </c>
      <c r="Q54" s="53" t="str">
        <f ca="1">"  "&amp;IF(K60&lt;M60,IF($Y54="","",IF(ISERROR(VLOOKUP($A$4&amp;TEXT($A60,"000"),Sonntag!$B$23:$T$139,8,FALSE)),"",VLOOKUP($A$4&amp;TEXT($A60,"000"),Sonntag!$B$23:$T$139,8,FALSE))),IF($Y54="","",IF(ISERROR(VLOOKUP($A$4&amp;TEXT($A60,"000"),Sonntag!$B$23:$T$139,11,FALSE)),"",VLOOKUP($A$4&amp;TEXT($A60,"000"),Sonntag!$B$23:$T$139,11,FALSE))))</f>
        <v xml:space="preserve">  Schwaben</v>
      </c>
      <c r="R54" s="53"/>
      <c r="S54" s="53"/>
      <c r="T54" s="53"/>
      <c r="U54" s="53"/>
      <c r="V54" s="53"/>
      <c r="W54" s="158"/>
      <c r="X54" s="159"/>
      <c r="Y54" s="34" t="s">
        <v>17</v>
      </c>
      <c r="AC54" s="148"/>
    </row>
    <row r="55" spans="1:29" ht="18" customHeight="1">
      <c r="C55" s="175" t="s">
        <v>23</v>
      </c>
      <c r="D55" s="161"/>
      <c r="E55" s="159"/>
      <c r="F55" s="159"/>
      <c r="G55" s="159"/>
      <c r="H55" s="159"/>
      <c r="I55" s="159"/>
      <c r="J55" s="159"/>
      <c r="K55" s="162"/>
      <c r="L55" s="163"/>
      <c r="M55" s="164"/>
      <c r="N55" s="152"/>
      <c r="P55" s="157">
        <v>5</v>
      </c>
      <c r="Q55" s="53" t="str">
        <f ca="1">"  "&amp;IF(K54&gt;M54,IF($Y55="","",IF(ISERROR(VLOOKUP($A$4&amp;TEXT($A54,"000"),Sonntag!$B$23:$T$139,8,FALSE)),"",VLOOKUP($A$4&amp;TEXT($A54,"000"),Sonntag!$B$23:$T$139,8,FALSE))),IF($Y55="","",IF(ISERROR(VLOOKUP($A$4&amp;TEXT($A54,"000"),Sonntag!$B$23:$T$139,11,FALSE)),"",VLOOKUP($A$4&amp;TEXT($A54,"000"),Sonntag!$B$23:$T$139,11,FALSE))))</f>
        <v xml:space="preserve">  Baden</v>
      </c>
      <c r="R55" s="53"/>
      <c r="S55" s="53"/>
      <c r="T55" s="53"/>
      <c r="U55" s="53"/>
      <c r="V55" s="53"/>
      <c r="W55" s="158"/>
      <c r="Y55" s="34" t="s">
        <v>17</v>
      </c>
      <c r="AC55" s="148"/>
    </row>
    <row r="56" spans="1:29" ht="17.25" customHeight="1">
      <c r="A56" s="39" t="s">
        <v>143</v>
      </c>
      <c r="B56" s="34" t="s">
        <v>24</v>
      </c>
      <c r="C56" s="140" t="str">
        <f>"1."&amp;+$D$5&amp;"  Sieger "&amp;B50</f>
        <v>1.Gruppe A  Sieger d</v>
      </c>
      <c r="D56" s="141" t="str">
        <f ca="1">"  "&amp;IF(Y31="","",IF(ISERROR(VLOOKUP($A$4&amp;TEXT($A56,"000"),Sonntag!$B$23:$S$161,8,FALSE)),"",VLOOKUP($A$4&amp;TEXT($A56,"000"),Sonntag!$B$23:$S$161,8,FALSE)))&amp;" : "&amp;IF(N50="","",IF(ISERROR(VLOOKUP($A$4&amp;TEXT($A56,"000"),Sonntag!$B$23:$S$161,11,FALSE)),"",VLOOKUP($A$4&amp;TEXT($A56,"000"),Sonntag!$B$23:$S$161,11,FALSE)))</f>
        <v xml:space="preserve">  Westfalen : Schwaben</v>
      </c>
      <c r="E56" s="155"/>
      <c r="F56" s="165"/>
      <c r="G56" s="165"/>
      <c r="H56" s="165"/>
      <c r="I56" s="166"/>
      <c r="J56" s="83"/>
      <c r="K56" s="145">
        <f>IF(N56="","",IF(ISERROR(VLOOKUP($A$4&amp;TEXT($A$42,"000"),Sonntag!$B$23:$S$93,16,FALSE)),"",VLOOKUP($A$4&amp;TEXT($A56,"000"),Sonntag!$B$23:$S$93,16,FALSE)))</f>
        <v>34</v>
      </c>
      <c r="L56" s="48" t="s">
        <v>15</v>
      </c>
      <c r="M56" s="146">
        <f>IF(N56="","",IF(ISERROR(VLOOKUP($A$4&amp;TEXT($A$42,"000"),Sonntag!$B$23:$S$93,18,FALSE)),"",VLOOKUP($A$4&amp;TEXT($A56,"000"),Sonntag!$B$23:$S$93,18,FALSE)))</f>
        <v>27</v>
      </c>
      <c r="N56" s="152" t="s">
        <v>17</v>
      </c>
      <c r="P56" s="157">
        <v>6</v>
      </c>
      <c r="Q56" s="53" t="str">
        <f ca="1">"  "&amp;IF(K54&lt;M54,IF($Y56="","",IF(ISERROR(VLOOKUP($A$4&amp;TEXT($A54,"000"),Sonntag!$B$23:$T$139,8,FALSE)),"",VLOOKUP($A$4&amp;TEXT($A54,"000"),Sonntag!$B$23:$T$139,8,FALSE))),IF($Y56="","",IF(ISERROR(VLOOKUP($A$4&amp;TEXT($A54,"000"),Sonntag!$B$23:$T$139,11,FALSE)),"",VLOOKUP($A$4&amp;TEXT($A54,"000"),Sonntag!$B$23:$T$139,11,FALSE))))</f>
        <v xml:space="preserve">  Hessen</v>
      </c>
      <c r="R56" s="53"/>
      <c r="S56" s="53"/>
      <c r="T56" s="53"/>
      <c r="U56" s="53"/>
      <c r="V56" s="53"/>
      <c r="W56" s="158"/>
      <c r="Y56" s="34" t="s">
        <v>17</v>
      </c>
      <c r="AC56" s="148"/>
    </row>
    <row r="57" spans="1:29" ht="4.7" customHeight="1">
      <c r="A57" s="39"/>
      <c r="C57" s="167"/>
      <c r="D57" s="161"/>
      <c r="E57" s="161"/>
      <c r="F57" s="167"/>
      <c r="G57" s="159"/>
      <c r="H57" s="159"/>
      <c r="I57" s="159"/>
      <c r="J57" s="159"/>
      <c r="K57" s="162"/>
      <c r="L57" s="163"/>
      <c r="M57" s="164"/>
      <c r="N57" s="152"/>
      <c r="P57" s="157"/>
      <c r="Q57" s="53"/>
      <c r="R57" s="53"/>
      <c r="S57" s="53"/>
      <c r="T57" s="53"/>
      <c r="U57" s="53"/>
      <c r="V57" s="53"/>
      <c r="W57" s="158"/>
      <c r="X57" s="34" t="s">
        <v>17</v>
      </c>
      <c r="AC57" s="148"/>
    </row>
    <row r="58" spans="1:29" ht="17.25" customHeight="1">
      <c r="A58" s="39" t="s">
        <v>144</v>
      </c>
      <c r="B58" s="34" t="s">
        <v>25</v>
      </c>
      <c r="C58" s="140" t="str">
        <f>"1."&amp;+$D24&amp;"  Sieger "&amp;B48</f>
        <v>1.Gruppe B  Sieger c</v>
      </c>
      <c r="D58" s="141" t="str">
        <f ca="1">"  "&amp;IF(Y31="","",IF(ISERROR(VLOOKUP($A$4&amp;TEXT($A58,"000"),Sonntag!$B$23:$S$161,8,FALSE)),"",VLOOKUP($A$4&amp;TEXT($A58,"000"),Sonntag!$B$23:$S$161,8,FALSE)))&amp;" : "&amp;IF(N48="","",IF(ISERROR(VLOOKUP($A$4&amp;TEXT($A58,"000"),Sonntag!$B$23:$S$161,11,FALSE)),"",VLOOKUP($A$4&amp;TEXT($A58,"000"),Sonntag!$B$23:$S$161,11,FALSE)))</f>
        <v xml:space="preserve">  Bremen : Niedersachsen</v>
      </c>
      <c r="E58" s="155"/>
      <c r="F58" s="165"/>
      <c r="G58" s="165"/>
      <c r="H58" s="165"/>
      <c r="I58" s="165"/>
      <c r="J58" s="83"/>
      <c r="K58" s="145">
        <f>IF(N58="","",IF(ISERROR(VLOOKUP($A$4&amp;TEXT($A$42,"000"),Sonntag!$B$23:$S$93,16,FALSE)),"",VLOOKUP($A$4&amp;TEXT($A58,"000"),Sonntag!$B$23:$S$93,16,FALSE)))</f>
        <v>40</v>
      </c>
      <c r="L58" s="48" t="s">
        <v>15</v>
      </c>
      <c r="M58" s="146">
        <f>IF(N58="","",IF(ISERROR(VLOOKUP($A$4&amp;TEXT($A$42,"000"),Sonntag!$B$23:$S$93,18,FALSE)),"",VLOOKUP($A$4&amp;TEXT($A58,"000"),Sonntag!$B$23:$S$93,18,FALSE)))</f>
        <v>30</v>
      </c>
      <c r="N58" s="152" t="s">
        <v>17</v>
      </c>
      <c r="P58" s="157">
        <v>7</v>
      </c>
      <c r="Q58" s="306" t="str">
        <f>IF(Y58="","","  "&amp;IF($AR$29=1,$AE$29,IF($AR$31=1,$AE$31,IF($AR$33=1,$AE$33,0))))</f>
        <v xml:space="preserve">  Rheinland</v>
      </c>
      <c r="R58" s="53"/>
      <c r="S58" s="53"/>
      <c r="T58" s="53"/>
      <c r="U58" s="53"/>
      <c r="V58" s="53"/>
      <c r="W58" s="158"/>
      <c r="Y58" s="34" t="s">
        <v>17</v>
      </c>
      <c r="AC58" s="148"/>
    </row>
    <row r="59" spans="1:29" ht="18" customHeight="1">
      <c r="A59" s="39"/>
      <c r="C59" s="176" t="s">
        <v>211</v>
      </c>
      <c r="D59" s="161"/>
      <c r="E59" s="161"/>
      <c r="F59" s="167"/>
      <c r="G59" s="159"/>
      <c r="H59" s="159"/>
      <c r="I59" s="159"/>
      <c r="J59" s="159"/>
      <c r="K59" s="162"/>
      <c r="L59" s="163"/>
      <c r="M59" s="164"/>
      <c r="N59" s="152"/>
      <c r="P59" s="157">
        <v>8</v>
      </c>
      <c r="Q59" s="306" t="str">
        <f>IF(Y59="","","  "&amp;IF($AR$29=2,$AE$29,IF($AR$31=2,$AE$31,IF($AR$33=2,$AE$33,0))))</f>
        <v xml:space="preserve">  Pfalz</v>
      </c>
      <c r="R59" s="53"/>
      <c r="S59" s="53"/>
      <c r="T59" s="53"/>
      <c r="U59" s="53"/>
      <c r="V59" s="53"/>
      <c r="W59" s="158"/>
      <c r="Y59" s="34" t="s">
        <v>17</v>
      </c>
      <c r="AC59" s="148"/>
    </row>
    <row r="60" spans="1:29" ht="17.25" customHeight="1">
      <c r="A60" s="39" t="s">
        <v>241</v>
      </c>
      <c r="C60" s="168" t="str">
        <f>"Ver."&amp;B56&amp;"/"&amp;B58&amp;"         Pl.3-4"</f>
        <v>Ver.e/f         Pl.3-4</v>
      </c>
      <c r="D60" s="141" t="str">
        <f ca="1">"  "&amp;IF(N56="","",IF(ISERROR(VLOOKUP($A$4&amp;TEXT($A60,"000"),Sonntag!$B$23:$S$161,8,FALSE)),"",VLOOKUP($A$4&amp;TEXT($A60,"000"),Sonntag!$B$23:$S$161,8,FALSE)))&amp;" : "&amp;IF(N58="","",IF(ISERROR(VLOOKUP($A$4&amp;TEXT($A60,"000"),Sonntag!$B$23:$S$161,11,FALSE)),"",VLOOKUP($A$4&amp;TEXT($A60,"000"),Sonntag!$B$23:$S$161,11,FALSE)))</f>
        <v xml:space="preserve">  Schwaben : Niedersachsen</v>
      </c>
      <c r="E60" s="155"/>
      <c r="F60" s="165"/>
      <c r="G60" s="165"/>
      <c r="H60" s="165"/>
      <c r="I60" s="165"/>
      <c r="J60" s="83"/>
      <c r="K60" s="145">
        <f>IF(N60="","",IF(ISERROR(VLOOKUP($A$4&amp;TEXT($A$42,"000"),Sonntag!$B$23:$S$93,16,FALSE)),"",VLOOKUP($A$4&amp;TEXT($A60,"000"),Sonntag!$B$23:$S$93,16,FALSE)))</f>
        <v>30</v>
      </c>
      <c r="L60" s="48" t="s">
        <v>15</v>
      </c>
      <c r="M60" s="146">
        <f>IF(N60="","",IF(ISERROR(VLOOKUP($A$4&amp;TEXT($A$42,"000"),Sonntag!$B$23:$S$93,18,FALSE)),"",VLOOKUP($A$4&amp;TEXT($A60,"000"),Sonntag!$B$23:$S$93,18,FALSE)))</f>
        <v>32</v>
      </c>
      <c r="N60" s="152" t="s">
        <v>17</v>
      </c>
      <c r="P60" s="157">
        <v>9</v>
      </c>
      <c r="Q60" s="306" t="str">
        <f>IF(Y60="","","  "&amp;IF($AR$29=3,$AE$29,IF($AR$31=3,$AE$31,IF($AR$33=3,$AE$33,0))))</f>
        <v xml:space="preserve">  Berlin</v>
      </c>
      <c r="R60" s="53"/>
      <c r="S60" s="53"/>
      <c r="T60" s="53"/>
      <c r="U60" s="53"/>
      <c r="V60" s="53"/>
      <c r="W60" s="158"/>
      <c r="Y60" s="34" t="s">
        <v>17</v>
      </c>
      <c r="AC60" s="148"/>
    </row>
    <row r="61" spans="1:29" ht="4.7" customHeight="1">
      <c r="A61" s="39"/>
      <c r="C61" s="159"/>
      <c r="D61" s="161"/>
      <c r="E61" s="161"/>
      <c r="F61" s="159"/>
      <c r="G61" s="159"/>
      <c r="H61" s="159"/>
      <c r="I61" s="167"/>
      <c r="J61" s="159"/>
      <c r="K61" s="162"/>
      <c r="L61" s="163"/>
      <c r="M61" s="164"/>
      <c r="N61" s="152"/>
      <c r="P61" s="169"/>
      <c r="Q61" s="161"/>
      <c r="R61" s="53"/>
      <c r="S61" s="53"/>
      <c r="T61" s="53"/>
      <c r="U61" s="53"/>
      <c r="V61" s="53"/>
      <c r="W61" s="158"/>
      <c r="AC61" s="148"/>
    </row>
    <row r="62" spans="1:29" ht="17.25" customHeight="1">
      <c r="A62" s="39"/>
      <c r="C62" s="177" t="s">
        <v>26</v>
      </c>
      <c r="D62" s="53"/>
      <c r="E62" s="161"/>
      <c r="F62" s="159"/>
      <c r="G62" s="159"/>
      <c r="H62" s="41"/>
      <c r="I62" s="170"/>
      <c r="J62" s="41"/>
      <c r="K62" s="162"/>
      <c r="L62" s="163"/>
      <c r="M62" s="164"/>
      <c r="N62" s="152"/>
      <c r="P62" s="171">
        <v>10</v>
      </c>
      <c r="Q62" s="188"/>
      <c r="R62" s="55"/>
      <c r="S62" s="55"/>
      <c r="T62" s="55"/>
      <c r="U62" s="55"/>
      <c r="V62" s="55"/>
      <c r="W62" s="172"/>
      <c r="AC62" s="148"/>
    </row>
    <row r="63" spans="1:29" ht="18" customHeight="1">
      <c r="A63" s="39" t="s">
        <v>242</v>
      </c>
      <c r="C63" s="168" t="str">
        <f>"S."&amp;B56&amp;"/"&amp;B58&amp;"         1./2. Pl."</f>
        <v>S.e/f         1./2. Pl.</v>
      </c>
      <c r="D63" s="141" t="str">
        <f ca="1">"  "&amp;IF(N56="","",IF(ISERROR(VLOOKUP($A$4&amp;TEXT($A63,"000"),Sonntag!$B$23:$S$161,8,FALSE)),"",VLOOKUP($A$4&amp;TEXT($A63,"000"),Sonntag!$B$23:$S$161,8,FALSE)))&amp;" : "&amp;IF(N58="","",IF(ISERROR(VLOOKUP($A$4&amp;TEXT($A63,"000"),Sonntag!$B$23:$S$161,11,FALSE)),"",VLOOKUP($A$4&amp;TEXT($A63,"000"),Sonntag!$B$23:$S$161,11,FALSE)))</f>
        <v xml:space="preserve">  Westfalen : Bremen</v>
      </c>
      <c r="E63" s="155"/>
      <c r="F63" s="173"/>
      <c r="G63" s="174"/>
      <c r="H63" s="165"/>
      <c r="I63" s="165"/>
      <c r="J63" s="83"/>
      <c r="K63" s="145">
        <f>IF(N63="","",IF(ISERROR(VLOOKUP($A$4&amp;TEXT($A$42,"000"),Sonntag!$B$23:$S$93,16,FALSE)),"",VLOOKUP($A$4&amp;TEXT($A63,"000"),Sonntag!$B$23:$S$93,16,FALSE)))</f>
        <v>34</v>
      </c>
      <c r="L63" s="48" t="s">
        <v>15</v>
      </c>
      <c r="M63" s="146">
        <f>IF(N63="","",IF(ISERROR(VLOOKUP($A$4&amp;TEXT($A$42,"000"),Sonntag!$B$23:$S$93,18,FALSE)),"",VLOOKUP($A$4&amp;TEXT($A63,"000"),Sonntag!$B$23:$S$93,18,FALSE)))</f>
        <v>32</v>
      </c>
      <c r="N63" s="35" t="s">
        <v>17</v>
      </c>
      <c r="AC63" s="148"/>
    </row>
    <row r="64" spans="1:29" ht="17.25" customHeight="1">
      <c r="A64" s="39"/>
      <c r="N64" s="152"/>
      <c r="AC64" s="148"/>
    </row>
    <row r="65" spans="2:14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</row>
  </sheetData>
  <mergeCells count="1">
    <mergeCell ref="Q2:W2"/>
  </mergeCells>
  <conditionalFormatting sqref="H25 G31:H31 J31:K31 M31 E31 G33:H33 J33:K33 E33 G29:H29 J29 E29 P33 M33:N33 G27 E27 H6 G12:H12 J12:K12 M12 E12 G14:H14 J14:K14 E14 G10:H10 J10 E10 P14 M14:N14 J6:K6 M6:N6 P6:Q6 S6 S8 S10 Q12 S12 N10 P10:Q10 P8:Q8 K8 M8:N8 J25:K25 M25:N25 P25:Q25 S25 S27 S29 Q31 S31 N29 P29:Q29 K27 M27:N27 P27:Q27">
    <cfRule type="cellIs" dxfId="11" priority="2" stopIfTrue="1" operator="lessThan">
      <formula>1</formula>
    </cfRule>
  </conditionalFormatting>
  <conditionalFormatting sqref="E8 G8">
    <cfRule type="cellIs" dxfId="10" priority="1" stopIfTrue="1" operator="lessThan">
      <formula>1</formula>
    </cfRule>
  </conditionalFormatting>
  <printOptions horizontalCentered="1" verticalCentered="1"/>
  <pageMargins left="0.35433070866141736" right="0.35433070866141736" top="0.19685039370078741" bottom="0.39370078740157483" header="0.51181102362204722" footer="0.51181102362204722"/>
  <pageSetup paperSize="9" scale="90" orientation="portrait" r:id="rId1"/>
  <headerFooter alignWithMargins="0">
    <oddFooter>&amp;R&amp;6&amp;F;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T65"/>
  <sheetViews>
    <sheetView showGridLines="0" topLeftCell="B26" zoomScale="90" zoomScaleNormal="90" workbookViewId="0">
      <selection activeCell="O64" sqref="O64"/>
    </sheetView>
  </sheetViews>
  <sheetFormatPr baseColWidth="10" defaultRowHeight="12.75" outlineLevelRow="1" outlineLevelCol="1"/>
  <cols>
    <col min="1" max="1" width="3" style="34" hidden="1" customWidth="1" outlineLevel="1"/>
    <col min="2" max="2" width="2" style="34" customWidth="1" collapsed="1"/>
    <col min="3" max="3" width="6.85546875" style="34" customWidth="1"/>
    <col min="4" max="4" width="24.7109375" style="34" customWidth="1"/>
    <col min="5" max="5" width="4" style="34" customWidth="1"/>
    <col min="6" max="6" width="1.7109375" style="34" customWidth="1"/>
    <col min="7" max="8" width="4" style="34" customWidth="1"/>
    <col min="9" max="9" width="1.7109375" style="34" customWidth="1"/>
    <col min="10" max="11" width="4" style="34" customWidth="1"/>
    <col min="12" max="12" width="1.7109375" style="34" customWidth="1"/>
    <col min="13" max="14" width="4" style="34" customWidth="1"/>
    <col min="15" max="15" width="1.7109375" style="34" customWidth="1"/>
    <col min="16" max="17" width="4" style="34" customWidth="1"/>
    <col min="18" max="18" width="1.7109375" style="34" customWidth="1"/>
    <col min="19" max="20" width="4" style="34" customWidth="1"/>
    <col min="21" max="21" width="1.7109375" style="34" customWidth="1"/>
    <col min="22" max="22" width="4" style="34" customWidth="1"/>
    <col min="23" max="23" width="4.7109375" style="34" customWidth="1"/>
    <col min="24" max="24" width="6.5703125" style="34" hidden="1" customWidth="1" outlineLevel="1"/>
    <col min="25" max="25" width="4" style="34" customWidth="1" collapsed="1"/>
    <col min="26" max="26" width="4.85546875" style="34" customWidth="1"/>
    <col min="27" max="27" width="1.7109375" style="34" customWidth="1"/>
    <col min="28" max="28" width="4" style="34" customWidth="1"/>
    <col min="29" max="29" width="24" style="34" bestFit="1" customWidth="1"/>
    <col min="30" max="30" width="4.7109375" style="34" customWidth="1"/>
    <col min="31" max="31" width="24" style="34" bestFit="1" customWidth="1"/>
    <col min="32" max="32" width="3" style="34" bestFit="1" customWidth="1"/>
    <col min="33" max="33" width="1.28515625" style="34" customWidth="1"/>
    <col min="34" max="35" width="3" style="34" bestFit="1" customWidth="1"/>
    <col min="36" max="36" width="1.28515625" style="34" customWidth="1"/>
    <col min="37" max="38" width="3" style="34" bestFit="1" customWidth="1"/>
    <col min="39" max="39" width="1.28515625" style="34" customWidth="1"/>
    <col min="40" max="41" width="3" style="34" bestFit="1" customWidth="1"/>
    <col min="42" max="42" width="1.28515625" style="34" customWidth="1"/>
    <col min="43" max="44" width="3" style="34" bestFit="1" customWidth="1"/>
    <col min="45" max="45" width="4.7109375" style="34" customWidth="1"/>
    <col min="46" max="47" width="3" style="34" bestFit="1" customWidth="1"/>
    <col min="48" max="48" width="1.28515625" style="34" customWidth="1"/>
    <col min="49" max="49" width="3" style="34" bestFit="1" customWidth="1"/>
    <col min="50" max="16384" width="11.42578125" style="34"/>
  </cols>
  <sheetData>
    <row r="1" spans="1:31" ht="24.95" customHeight="1">
      <c r="B1" s="183"/>
      <c r="C1" s="189" t="str">
        <f>Daten!A1&amp;" "&amp;Daten!B1&amp;" "&amp;Daten!L1</f>
        <v>35. Deutschlandpokal der Jugend 2018</v>
      </c>
      <c r="D1" s="184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31" ht="21.75" customHeight="1">
      <c r="C2" s="68"/>
      <c r="D2" s="69" t="s">
        <v>27</v>
      </c>
      <c r="E2" s="70"/>
      <c r="F2" s="71"/>
      <c r="G2" s="70"/>
      <c r="H2" s="53"/>
      <c r="I2" s="53"/>
      <c r="J2" s="53"/>
      <c r="K2" s="72"/>
      <c r="L2" s="53"/>
      <c r="M2" s="53"/>
      <c r="N2" s="53"/>
      <c r="O2" s="53"/>
      <c r="P2" s="53"/>
      <c r="Q2" s="370" t="str">
        <f>+Daten!I3</f>
        <v>männl. Jgd. 11-14</v>
      </c>
      <c r="R2" s="371"/>
      <c r="S2" s="371"/>
      <c r="T2" s="371"/>
      <c r="U2" s="371"/>
      <c r="V2" s="371"/>
      <c r="W2" s="372"/>
    </row>
    <row r="3" spans="1:31" ht="6.75" customHeight="1">
      <c r="C3" s="73"/>
      <c r="D3" s="53"/>
      <c r="E3" s="70"/>
      <c r="F3" s="71"/>
      <c r="G3" s="70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73"/>
      <c r="T3" s="53"/>
      <c r="U3" s="53"/>
      <c r="V3" s="53"/>
      <c r="W3" s="53"/>
    </row>
    <row r="4" spans="1:31" ht="21.75" hidden="1" customHeight="1" outlineLevel="1">
      <c r="A4" s="34" t="s">
        <v>139</v>
      </c>
      <c r="C4" s="74"/>
      <c r="D4" s="75"/>
      <c r="E4" s="70"/>
      <c r="F4" s="53">
        <v>1</v>
      </c>
      <c r="G4" s="70"/>
      <c r="H4" s="53"/>
      <c r="I4" s="53">
        <v>2</v>
      </c>
      <c r="J4" s="53"/>
      <c r="K4" s="53"/>
      <c r="L4" s="53">
        <v>3</v>
      </c>
      <c r="M4" s="53"/>
      <c r="N4" s="53"/>
      <c r="O4" s="53">
        <v>4</v>
      </c>
      <c r="P4" s="53"/>
      <c r="Q4" s="53"/>
      <c r="R4" s="53">
        <v>5</v>
      </c>
      <c r="S4" s="74"/>
      <c r="T4" s="75"/>
      <c r="U4" s="75"/>
      <c r="V4" s="75"/>
      <c r="W4" s="75"/>
    </row>
    <row r="5" spans="1:31" ht="12.75" customHeight="1" collapsed="1">
      <c r="C5" s="76"/>
      <c r="D5" s="77" t="str">
        <f>+Daten!I4</f>
        <v>Gruppe C</v>
      </c>
      <c r="E5" s="78"/>
      <c r="F5" s="79" t="str">
        <f>+D6</f>
        <v>Niedersachsen</v>
      </c>
      <c r="G5" s="80"/>
      <c r="H5" s="81"/>
      <c r="I5" s="82" t="str">
        <f>+D8</f>
        <v>Baden</v>
      </c>
      <c r="J5" s="83"/>
      <c r="K5" s="84"/>
      <c r="L5" s="82" t="str">
        <f>+D10</f>
        <v>Bremen</v>
      </c>
      <c r="M5" s="83"/>
      <c r="N5" s="84"/>
      <c r="O5" s="82" t="str">
        <f>+D12</f>
        <v>Pfalz</v>
      </c>
      <c r="P5" s="83"/>
      <c r="Q5" s="84"/>
      <c r="R5" s="85" t="str">
        <f>+D14</f>
        <v>Westfalen</v>
      </c>
      <c r="S5" s="83"/>
      <c r="T5" s="81"/>
      <c r="U5" s="86" t="s">
        <v>12</v>
      </c>
      <c r="V5" s="87"/>
      <c r="W5" s="88" t="s">
        <v>13</v>
      </c>
    </row>
    <row r="6" spans="1:31" ht="15.2" customHeight="1">
      <c r="A6" s="34">
        <v>1</v>
      </c>
      <c r="C6" s="89" t="str">
        <f>IF(Daten!H5="","",Daten!H5)</f>
        <v/>
      </c>
      <c r="D6" s="90" t="str">
        <f>IF(Daten!I5="","",Daten!I5)</f>
        <v>Niedersachsen</v>
      </c>
      <c r="E6" s="91"/>
      <c r="F6" s="92"/>
      <c r="G6" s="93"/>
      <c r="H6" s="94">
        <f>IF(ISERROR(VLOOKUP($A$4&amp;TEXT($A6,"00")&amp;TEXT(I$4,"00"),Samstag!$B$24:$S$162,16,FALSE)),"",VLOOKUP($A$4&amp;TEXT($A6,"00")&amp;TEXT(I$4,"00"),Samstag!$B$24:$S$162,16,FALSE))</f>
        <v>37</v>
      </c>
      <c r="I6" s="49" t="s">
        <v>15</v>
      </c>
      <c r="J6" s="95">
        <f>IF(ISERROR(VLOOKUP($A$4&amp;TEXT($A6,"00")&amp;TEXT(I$4,"00"),Samstag!$B$24:$S$162,18,FALSE)),"",VLOOKUP($A$4&amp;TEXT($A6,"00")&amp;TEXT(I$4,"00"),Samstag!$B$24:$S$162,18,FALSE))</f>
        <v>36</v>
      </c>
      <c r="K6" s="94">
        <f>IF(ISERROR(VLOOKUP($A$4&amp;TEXT($A6,"00")&amp;TEXT(L$4,"00"),Samstag!$B$24:$S$162,16,FALSE)),"",VLOOKUP($A$4&amp;TEXT($A6,"00")&amp;TEXT(L$4,"00"),Samstag!$B$24:$S$162,16,FALSE))</f>
        <v>35</v>
      </c>
      <c r="L6" s="49" t="s">
        <v>15</v>
      </c>
      <c r="M6" s="95">
        <f>IF(ISERROR(VLOOKUP($A$4&amp;TEXT($A6,"00")&amp;TEXT(L$4,"00"),Samstag!$B$24:$S$162,18,FALSE)),"",VLOOKUP($A$4&amp;TEXT($A6,"00")&amp;TEXT(L$4,"00"),Samstag!$B$24:$S$162,18,FALSE))</f>
        <v>23</v>
      </c>
      <c r="N6" s="94">
        <f>IF(ISERROR(VLOOKUP($A$4&amp;TEXT($A6,"00")&amp;TEXT(O$4,"00"),Samstag!$B$24:$S$162,16,FALSE)),"",VLOOKUP($A$4&amp;TEXT($A6,"00")&amp;TEXT(O$4,"00"),Samstag!$B$24:$S$162,16,FALSE))</f>
        <v>48</v>
      </c>
      <c r="O6" s="49" t="s">
        <v>15</v>
      </c>
      <c r="P6" s="95">
        <f>IF(ISERROR(VLOOKUP($A$4&amp;TEXT($A6,"00")&amp;TEXT(O$4,"00"),Samstag!$B$24:$S$162,18,FALSE)),"",VLOOKUP($A$4&amp;TEXT($A6,"00")&amp;TEXT(O$4,"00"),Samstag!$B$24:$S$162,18,FALSE))</f>
        <v>17</v>
      </c>
      <c r="Q6" s="94">
        <f>IF(ISERROR(VLOOKUP($A$4&amp;TEXT($A6,"00")&amp;TEXT(R$4,"00"),Samstag!$B$24:$S$162,16,FALSE)),"",VLOOKUP($A$4&amp;TEXT($A6,"00")&amp;TEXT(R$4,"00"),Samstag!$B$24:$S$162,16,FALSE))</f>
        <v>39</v>
      </c>
      <c r="R6" s="49" t="s">
        <v>15</v>
      </c>
      <c r="S6" s="95">
        <f>IF(ISERROR(VLOOKUP($A$4&amp;TEXT($A6,"00")&amp;TEXT(R$4,"00"),Samstag!$B$24:$S$162,18,FALSE)),"",VLOOKUP($A$4&amp;TEXT($A6,"00")&amp;TEXT(R$4,"00"),Samstag!$B$24:$S$162,18,FALSE))</f>
        <v>23</v>
      </c>
      <c r="T6" s="96">
        <f>IF(Y7="","",SUM(E6,H6,K6,N6,Q6))</f>
        <v>159</v>
      </c>
      <c r="U6" s="49" t="s">
        <v>15</v>
      </c>
      <c r="V6" s="97">
        <f>IF(Y7="","",SUM(G6,J6,M6,P6,S6))</f>
        <v>99</v>
      </c>
      <c r="W6" s="98">
        <f>IF(Y6="","",RANK(X7,($X$7,$X$9,$X$11,$X$13,$X$15),0))</f>
        <v>1</v>
      </c>
      <c r="X6" s="308"/>
      <c r="Y6" s="99" t="s">
        <v>17</v>
      </c>
      <c r="AB6" s="34">
        <v>1</v>
      </c>
      <c r="AC6" s="100" t="str">
        <f>IF(W6="","",IF($W$6=1,$D$6,IF($W$8=1,$D$8,IF($W$10=1,$D$10,IF($W$12=1,$D$12,IF($W$14=1,$D$14,0))))))</f>
        <v>Niedersachsen</v>
      </c>
      <c r="AD6" s="101"/>
      <c r="AE6" s="101"/>
    </row>
    <row r="7" spans="1:31" ht="11.1" customHeight="1">
      <c r="C7" s="111"/>
      <c r="D7" s="185"/>
      <c r="E7" s="103"/>
      <c r="F7" s="104"/>
      <c r="G7" s="105"/>
      <c r="H7" s="106">
        <f>IF(OR(H6="",H6=0),"",IF(H6&gt;J6,2,IF(H6&lt;J6,0,1)))</f>
        <v>2</v>
      </c>
      <c r="I7" s="40" t="s">
        <v>16</v>
      </c>
      <c r="J7" s="107">
        <f>IF(OR(J6="",J6=0),"",IF(J6&gt;H6,2,IF(J6&lt;H6,0,1)))</f>
        <v>0</v>
      </c>
      <c r="K7" s="106">
        <f>IF(OR(K6="",K6=0),"",IF(K6&gt;M6,2,IF(K6&lt;M6,0,1)))</f>
        <v>2</v>
      </c>
      <c r="L7" s="40" t="s">
        <v>16</v>
      </c>
      <c r="M7" s="107">
        <f>IF(OR(M6="",M6=0),"",IF(M6&gt;K6,2,IF(M6&lt;K6,0,1)))</f>
        <v>0</v>
      </c>
      <c r="N7" s="106">
        <f>IF(OR(N6="",N6=0),"",IF(N6&gt;P6,2,IF(N6&lt;P6,0,1)))</f>
        <v>2</v>
      </c>
      <c r="O7" s="40" t="s">
        <v>16</v>
      </c>
      <c r="P7" s="107">
        <f>IF(OR(P6="",P6=0),"",IF(P6&gt;N6,2,IF(P6&lt;N6,0,1)))</f>
        <v>0</v>
      </c>
      <c r="Q7" s="106">
        <f>IF(OR(Q6="",Q6=0),"",IF(Q6&gt;S6,2,IF(Q6&lt;S6,0,1)))</f>
        <v>2</v>
      </c>
      <c r="R7" s="40" t="s">
        <v>16</v>
      </c>
      <c r="S7" s="107">
        <f>IF(OR(S6="",S6=0),"",IF(S6&gt;Q6,2,IF(S6&lt;Q6,0,1)))</f>
        <v>0</v>
      </c>
      <c r="T7" s="106">
        <f>IF(Y7="","",SUM(E7,H7,K7,N7,Q7))</f>
        <v>8</v>
      </c>
      <c r="U7" s="40" t="s">
        <v>16</v>
      </c>
      <c r="V7" s="107">
        <f>IF(Y7="","",SUM(G7,J7,M7,P7,S7))</f>
        <v>0</v>
      </c>
      <c r="W7" s="108"/>
      <c r="X7" s="309">
        <f>+(T7-V7)+T6/V6+T7</f>
        <v>17.606060606060606</v>
      </c>
      <c r="Y7" s="99" t="s">
        <v>17</v>
      </c>
      <c r="AC7" s="100"/>
    </row>
    <row r="8" spans="1:31" ht="15.2" customHeight="1">
      <c r="A8" s="34">
        <v>2</v>
      </c>
      <c r="C8" s="89" t="str">
        <f>IF(Daten!H6="","",Daten!H6)</f>
        <v/>
      </c>
      <c r="D8" s="90" t="str">
        <f>IF(Daten!I6="","",Daten!I6)</f>
        <v>Baden</v>
      </c>
      <c r="E8" s="94">
        <f>IF(J6="","",J6)</f>
        <v>36</v>
      </c>
      <c r="F8" s="49" t="s">
        <v>15</v>
      </c>
      <c r="G8" s="95">
        <f>IF(H6="","",H6)</f>
        <v>37</v>
      </c>
      <c r="H8" s="91"/>
      <c r="I8" s="92"/>
      <c r="J8" s="93"/>
      <c r="K8" s="94">
        <f>IF(ISERROR(VLOOKUP($A$4&amp;TEXT($A8,"00")&amp;TEXT(L$4,"00"),Samstag!$B$24:$S$162,16,FALSE)),"",VLOOKUP($A$4&amp;TEXT($A8,"00")&amp;TEXT(L$4,"00"),Samstag!$B$24:$S$162,16,FALSE))</f>
        <v>30</v>
      </c>
      <c r="L8" s="49" t="s">
        <v>15</v>
      </c>
      <c r="M8" s="95">
        <f>IF(ISERROR(VLOOKUP($A$4&amp;TEXT($A8,"00")&amp;TEXT(L$4,"00"),Samstag!$B$24:$S$162,18,FALSE)),"",VLOOKUP($A$4&amp;TEXT($A8,"00")&amp;TEXT(L$4,"00"),Samstag!$B$24:$S$162,18,FALSE))</f>
        <v>29</v>
      </c>
      <c r="N8" s="94">
        <f>IF(ISERROR(VLOOKUP($A$4&amp;TEXT($A8,"00")&amp;TEXT(O$4,"00"),Samstag!$B$24:$S$162,16,FALSE)),"",VLOOKUP($A$4&amp;TEXT($A8,"00")&amp;TEXT(O$4,"00"),Samstag!$B$24:$S$162,16,FALSE))</f>
        <v>43</v>
      </c>
      <c r="O8" s="49" t="s">
        <v>15</v>
      </c>
      <c r="P8" s="95">
        <f>IF(ISERROR(VLOOKUP($A$4&amp;TEXT($A8,"00")&amp;TEXT(O$4,"00"),Samstag!$B$24:$S$162,18,FALSE)),"",VLOOKUP($A$4&amp;TEXT($A8,"00")&amp;TEXT(O$4,"00"),Samstag!$B$24:$S$162,18,FALSE))</f>
        <v>25</v>
      </c>
      <c r="Q8" s="94">
        <f>IF(ISERROR(VLOOKUP($A$4&amp;TEXT($A8,"00")&amp;TEXT(R$4,"00"),Samstag!$B$24:$S$162,16,FALSE)),"",VLOOKUP($A$4&amp;TEXT($A8,"00")&amp;TEXT(R$4,"00"),Samstag!$B$24:$S$162,16,FALSE))</f>
        <v>32</v>
      </c>
      <c r="R8" s="49" t="s">
        <v>15</v>
      </c>
      <c r="S8" s="95">
        <f>IF(ISERROR(VLOOKUP($A$4&amp;TEXT($A8,"00")&amp;TEXT(R$4,"00"),Samstag!$B$24:$S$162,18,FALSE)),"",VLOOKUP($A$4&amp;TEXT($A8,"00")&amp;TEXT(R$4,"00"),Samstag!$B$24:$S$162,18,FALSE))</f>
        <v>26</v>
      </c>
      <c r="T8" s="96">
        <f>IF(Y9="","",SUM(E8,H8,K8,N8,Q8))</f>
        <v>141</v>
      </c>
      <c r="U8" s="49" t="s">
        <v>15</v>
      </c>
      <c r="V8" s="97">
        <f>IF(Y9="","",SUM(G8,J8,M8,P8,S8))</f>
        <v>117</v>
      </c>
      <c r="W8" s="98">
        <f>IF(Y8="","",RANK(X9,($X$7,$X$9,$X$11,$X$13,$X$15),0))</f>
        <v>2</v>
      </c>
      <c r="X8" s="308"/>
      <c r="Y8" s="99" t="s">
        <v>17</v>
      </c>
      <c r="AB8" s="34">
        <v>2</v>
      </c>
      <c r="AC8" s="100" t="str">
        <f>IF(W8="","",IF($W$6=2,$D$6,IF($W$8=2,$D$8,IF($W$10=2,$D$10,IF($W$12=2,$D$12,IF($W$14=2,$D$14,0))))))</f>
        <v>Baden</v>
      </c>
      <c r="AD8" s="101"/>
      <c r="AE8" s="101"/>
    </row>
    <row r="9" spans="1:31" ht="11.1" customHeight="1">
      <c r="C9" s="102"/>
      <c r="D9" s="54"/>
      <c r="E9" s="106">
        <f>IF(OR(E8="",E8=0),"",IF(E8&gt;G8,2,IF(E8&lt;G8,0,1)))</f>
        <v>0</v>
      </c>
      <c r="F9" s="40" t="s">
        <v>16</v>
      </c>
      <c r="G9" s="107">
        <f>IF(OR(G8="",G8=0),"",IF(G8&gt;E8,2,IF(G8&lt;E8,0,1)))</f>
        <v>2</v>
      </c>
      <c r="H9" s="103"/>
      <c r="I9" s="104"/>
      <c r="J9" s="105"/>
      <c r="K9" s="106">
        <f>IF(OR(K8="",K8=0),"",IF(K8&gt;M8,2,IF(K8&lt;M8,0,1)))</f>
        <v>2</v>
      </c>
      <c r="L9" s="40" t="s">
        <v>16</v>
      </c>
      <c r="M9" s="107">
        <f>IF(OR(M8="",M8=0),"",IF(M8&gt;K8,2,IF(M8&lt;K8,0,1)))</f>
        <v>0</v>
      </c>
      <c r="N9" s="106">
        <f>IF(OR(N8="",N8=0),"",IF(N8&gt;P8,2,IF(N8&lt;P8,0,1)))</f>
        <v>2</v>
      </c>
      <c r="O9" s="40" t="s">
        <v>16</v>
      </c>
      <c r="P9" s="107">
        <f>IF(OR(P8="",P8=0),"",IF(P8&gt;N8,2,IF(P8&lt;N8,0,1)))</f>
        <v>0</v>
      </c>
      <c r="Q9" s="106">
        <f>IF(OR(Q8="",Q8=0),"",IF(Q8&gt;S8,2,IF(Q8&lt;S8,0,1)))</f>
        <v>2</v>
      </c>
      <c r="R9" s="40" t="s">
        <v>16</v>
      </c>
      <c r="S9" s="107">
        <f>IF(OR(S8="",S8=0),"",IF(S8&gt;Q8,2,IF(S8&lt;Q8,0,1)))</f>
        <v>0</v>
      </c>
      <c r="T9" s="106">
        <f>IF(Y9="","",SUM(E9,H9,K9,N9,Q9))</f>
        <v>6</v>
      </c>
      <c r="U9" s="40" t="s">
        <v>16</v>
      </c>
      <c r="V9" s="107">
        <f>IF(Y9="","",SUM(G9,J9,M9,P9,S9))</f>
        <v>2</v>
      </c>
      <c r="W9" s="108"/>
      <c r="X9" s="309">
        <f>+(T9-V9)+T8/V8+T9</f>
        <v>11.205128205128204</v>
      </c>
      <c r="Y9" s="99" t="s">
        <v>17</v>
      </c>
      <c r="AC9" s="100"/>
    </row>
    <row r="10" spans="1:31" ht="15.2" customHeight="1">
      <c r="A10" s="34">
        <v>3</v>
      </c>
      <c r="C10" s="89" t="str">
        <f>IF(Daten!H7="","",Daten!H7)</f>
        <v/>
      </c>
      <c r="D10" s="90" t="str">
        <f>IF(Daten!I7="","",Daten!I7)</f>
        <v>Bremen</v>
      </c>
      <c r="E10" s="94">
        <f>IF(M6="","",M6)</f>
        <v>23</v>
      </c>
      <c r="F10" s="49" t="s">
        <v>15</v>
      </c>
      <c r="G10" s="95">
        <f>IF(K6="","",K6)</f>
        <v>35</v>
      </c>
      <c r="H10" s="94">
        <f>IF(M8="","",M8)</f>
        <v>29</v>
      </c>
      <c r="I10" s="49" t="s">
        <v>15</v>
      </c>
      <c r="J10" s="95">
        <f>IF(K8="","",K8)</f>
        <v>30</v>
      </c>
      <c r="K10" s="91"/>
      <c r="L10" s="92"/>
      <c r="M10" s="93"/>
      <c r="N10" s="94">
        <f>IF(ISERROR(VLOOKUP($A$4&amp;TEXT($A10,"00")&amp;TEXT(O$4,"00"),Samstag!$B$24:$S$162,16,FALSE)),"",VLOOKUP($A$4&amp;TEXT($A10,"00")&amp;TEXT(O$4,"00"),Samstag!$B$24:$S$162,16,FALSE))</f>
        <v>51</v>
      </c>
      <c r="O10" s="49" t="s">
        <v>15</v>
      </c>
      <c r="P10" s="95">
        <f>IF(ISERROR(VLOOKUP($A$4&amp;TEXT($A10,"00")&amp;TEXT(O$4,"00"),Samstag!$B$24:$S$162,18,FALSE)),"",VLOOKUP($A$4&amp;TEXT($A10,"00")&amp;TEXT(O$4,"00"),Samstag!$B$24:$S$162,18,FALSE))</f>
        <v>17</v>
      </c>
      <c r="Q10" s="94">
        <f>IF(ISERROR(VLOOKUP($A$4&amp;TEXT($A10,"00")&amp;TEXT(R$4,"00"),Samstag!$B$24:$S$162,16,FALSE)),"",VLOOKUP($A$4&amp;TEXT($A10,"00")&amp;TEXT(R$4,"00"),Samstag!$B$24:$S$162,16,FALSE))</f>
        <v>38</v>
      </c>
      <c r="R10" s="49" t="s">
        <v>15</v>
      </c>
      <c r="S10" s="95">
        <f>IF(ISERROR(VLOOKUP($A$4&amp;TEXT($A10,"00")&amp;TEXT(R$4,"00"),Samstag!$B$24:$S$162,18,FALSE)),"",VLOOKUP($A$4&amp;TEXT($A10,"00")&amp;TEXT(R$4,"00"),Samstag!$B$24:$S$162,18,FALSE))</f>
        <v>25</v>
      </c>
      <c r="T10" s="96">
        <f>IF(Y11="","",SUM(E10,H10,K10,N10,Q10))</f>
        <v>141</v>
      </c>
      <c r="U10" s="49" t="s">
        <v>15</v>
      </c>
      <c r="V10" s="97">
        <f>IF(Y11="","",SUM(G10,J10,M10,P10,S10))</f>
        <v>107</v>
      </c>
      <c r="W10" s="110">
        <f>IF(Y10="","",RANK(X11,($X$7,$X$9,$X$11,$X$13,$X$15),0))</f>
        <v>3</v>
      </c>
      <c r="X10" s="308"/>
      <c r="Y10" s="99" t="s">
        <v>17</v>
      </c>
      <c r="AB10" s="34">
        <v>3</v>
      </c>
      <c r="AC10" s="100" t="str">
        <f>IF(W10="","",IF($W$6=3,$D$6,IF($W$8=3,$D$8,IF($W$10=3,$D$10,IF($W$12=3,$D$12,IF($W$14=3,$D$14,0))))))</f>
        <v>Bremen</v>
      </c>
    </row>
    <row r="11" spans="1:31" ht="11.1" customHeight="1">
      <c r="C11" s="111"/>
      <c r="D11" s="54"/>
      <c r="E11" s="106">
        <f>IF(OR(E10="",E10=0),"",IF(E10&gt;G10,2,IF(E10&lt;G10,0,1)))</f>
        <v>0</v>
      </c>
      <c r="F11" s="40" t="s">
        <v>16</v>
      </c>
      <c r="G11" s="107">
        <f>IF(OR(G10="",G10=0),"",IF(G10&gt;E10,2,IF(G10&lt;E10,0,1)))</f>
        <v>2</v>
      </c>
      <c r="H11" s="106">
        <f>IF(OR(H10="",H10=0),"",IF(H10&gt;J10,2,IF(H10&lt;J10,0,1)))</f>
        <v>0</v>
      </c>
      <c r="I11" s="40" t="s">
        <v>16</v>
      </c>
      <c r="J11" s="107">
        <f>IF(OR(J10="",J10=0),"",IF(J10&gt;H10,2,IF(J10&lt;H10,0,1)))</f>
        <v>2</v>
      </c>
      <c r="K11" s="103"/>
      <c r="L11" s="104"/>
      <c r="M11" s="105"/>
      <c r="N11" s="106">
        <f>IF(OR(N10="",N10=0),"",IF(N10&gt;P10,2,IF(N10&lt;P10,0,1)))</f>
        <v>2</v>
      </c>
      <c r="O11" s="40" t="s">
        <v>16</v>
      </c>
      <c r="P11" s="107">
        <f>IF(OR(P10="",P10=0),"",IF(P10&gt;N10,2,IF(P10&lt;N10,0,1)))</f>
        <v>0</v>
      </c>
      <c r="Q11" s="106">
        <f>IF(OR(Q10="",Q10=0),"",IF(Q10&gt;S10,2,IF(Q10&lt;S10,0,1)))</f>
        <v>2</v>
      </c>
      <c r="R11" s="40" t="s">
        <v>16</v>
      </c>
      <c r="S11" s="107">
        <f>IF(OR(S10="",S10=0),"",IF(S10&gt;Q10,2,IF(S10&lt;Q10,0,1)))</f>
        <v>0</v>
      </c>
      <c r="T11" s="106">
        <f>IF(Y11="","",SUM(E11,H11,K11,N11,Q11))</f>
        <v>4</v>
      </c>
      <c r="U11" s="40" t="s">
        <v>16</v>
      </c>
      <c r="V11" s="107">
        <f>IF(Y11="","",SUM(G11,J11,M11,P11,S11))</f>
        <v>4</v>
      </c>
      <c r="W11" s="108"/>
      <c r="X11" s="309">
        <f>+(T11-V11)+T10/V10+T11</f>
        <v>5.3177570093457946</v>
      </c>
      <c r="Y11" s="99" t="s">
        <v>17</v>
      </c>
      <c r="AC11" s="100"/>
    </row>
    <row r="12" spans="1:31" ht="15.2" customHeight="1">
      <c r="A12" s="34">
        <v>4</v>
      </c>
      <c r="C12" s="89" t="str">
        <f>IF(Daten!H8="","",Daten!H8)</f>
        <v/>
      </c>
      <c r="D12" s="90" t="str">
        <f>IF(Daten!I8="","",Daten!I8)</f>
        <v>Pfalz</v>
      </c>
      <c r="E12" s="94">
        <f>IF(P6="","",P6)</f>
        <v>17</v>
      </c>
      <c r="F12" s="49" t="s">
        <v>15</v>
      </c>
      <c r="G12" s="95">
        <f>IF(N6="","",N6)</f>
        <v>48</v>
      </c>
      <c r="H12" s="94">
        <f>IF(P8="","",P8)</f>
        <v>25</v>
      </c>
      <c r="I12" s="49" t="s">
        <v>15</v>
      </c>
      <c r="J12" s="95">
        <f>IF(N8="","",N8)</f>
        <v>43</v>
      </c>
      <c r="K12" s="94">
        <f>IF(P10="","",P10)</f>
        <v>17</v>
      </c>
      <c r="L12" s="49" t="s">
        <v>15</v>
      </c>
      <c r="M12" s="95">
        <f>IF(N10="","",N10)</f>
        <v>51</v>
      </c>
      <c r="N12" s="91"/>
      <c r="O12" s="92"/>
      <c r="P12" s="93"/>
      <c r="Q12" s="94">
        <f>IF(ISERROR(VLOOKUP($A$4&amp;TEXT($A12,"00")&amp;TEXT(R$4,"00"),Samstag!$B$24:$S$162,16,FALSE)),"",VLOOKUP($A$4&amp;TEXT($A12,"00")&amp;TEXT(R$4,"00"),Samstag!$B$24:$S$162,16,FALSE))</f>
        <v>24</v>
      </c>
      <c r="R12" s="49" t="s">
        <v>15</v>
      </c>
      <c r="S12" s="95">
        <f>IF(ISERROR(VLOOKUP($A$4&amp;TEXT($A12,"00")&amp;TEXT(R$4,"00"),Samstag!$B$24:$S$162,18,FALSE)),"",VLOOKUP($A$4&amp;TEXT($A12,"00")&amp;TEXT(R$4,"00"),Samstag!$B$24:$S$162,18,FALSE))</f>
        <v>44</v>
      </c>
      <c r="T12" s="96">
        <f>IF(Y13="","",SUM(E12,H12,K12,N12,Q12))</f>
        <v>83</v>
      </c>
      <c r="U12" s="49" t="s">
        <v>15</v>
      </c>
      <c r="V12" s="97">
        <f>IF(Y13="","",SUM(G12,J12,M12,P12,S12))</f>
        <v>186</v>
      </c>
      <c r="W12" s="110">
        <f>IF(Y12="","",RANK(X13,($X$7,$X$9,$X$11,$X$13,$X$15),0))</f>
        <v>5</v>
      </c>
      <c r="X12" s="308"/>
      <c r="Y12" s="99" t="s">
        <v>17</v>
      </c>
      <c r="AB12" s="34">
        <v>4</v>
      </c>
      <c r="AC12" s="100" t="str">
        <f>IF(W12="","",IF($W$6=4,$D$6,IF($W$8=4,$D$8,IF($W$10=4,$D$10,IF($W$12=4,$D$12,IF($W$14=4,$D$14,0))))))</f>
        <v>Westfalen</v>
      </c>
    </row>
    <row r="13" spans="1:31" ht="11.1" customHeight="1">
      <c r="C13" s="111"/>
      <c r="D13" s="54"/>
      <c r="E13" s="106">
        <f>IF(OR(E12="",E12=0),"",IF(E12&gt;G12,2,IF(E12&lt;G12,0,1)))</f>
        <v>0</v>
      </c>
      <c r="F13" s="40" t="s">
        <v>16</v>
      </c>
      <c r="G13" s="107">
        <f>IF(OR(G12="",G12=0),"",IF(G12&gt;E12,2,IF(G12&lt;E12,0,1)))</f>
        <v>2</v>
      </c>
      <c r="H13" s="106">
        <f>IF(OR(H12="",H12=0),"",IF(H12&gt;J12,2,IF(H12&lt;J12,0,1)))</f>
        <v>0</v>
      </c>
      <c r="I13" s="40" t="s">
        <v>16</v>
      </c>
      <c r="J13" s="107">
        <f>IF(OR(J12="",J12=0),"",IF(J12&gt;H12,2,IF(J12&lt;H12,0,1)))</f>
        <v>2</v>
      </c>
      <c r="K13" s="106">
        <f>IF(OR(K12="",K12=0),"",IF(K12&gt;M12,2,IF(K12&lt;M12,0,1)))</f>
        <v>0</v>
      </c>
      <c r="L13" s="40" t="s">
        <v>16</v>
      </c>
      <c r="M13" s="107">
        <f>IF(OR(M12="",M12=0),"",IF(M12&gt;K12,2,IF(M12&lt;K12,0,1)))</f>
        <v>2</v>
      </c>
      <c r="N13" s="103"/>
      <c r="O13" s="104"/>
      <c r="P13" s="105"/>
      <c r="Q13" s="106">
        <f>IF(OR(Q12="",Q12=0),"",IF(Q12&gt;S12,2,IF(Q12&lt;S12,0,1)))</f>
        <v>0</v>
      </c>
      <c r="R13" s="40" t="s">
        <v>16</v>
      </c>
      <c r="S13" s="107">
        <f>IF(OR(S12="",S12=0),"",IF(S12&gt;Q12,2,IF(S12&lt;Q12,0,1)))</f>
        <v>2</v>
      </c>
      <c r="T13" s="106">
        <f>IF(Y13="","",SUM(E13,H13,K13,N13,Q13))</f>
        <v>0</v>
      </c>
      <c r="U13" s="40" t="s">
        <v>16</v>
      </c>
      <c r="V13" s="107">
        <f>IF(Y13="","",SUM(G13,J13,M13,P13,S13))</f>
        <v>8</v>
      </c>
      <c r="W13" s="108"/>
      <c r="X13" s="309">
        <f>+(T13-V13)+T12/V12+T13</f>
        <v>-7.553763440860215</v>
      </c>
      <c r="Y13" s="99" t="s">
        <v>17</v>
      </c>
      <c r="AC13" s="100"/>
    </row>
    <row r="14" spans="1:31" ht="15.2" customHeight="1">
      <c r="A14" s="34">
        <v>5</v>
      </c>
      <c r="C14" s="89" t="str">
        <f>IF(Daten!H9="","",Daten!H9)</f>
        <v/>
      </c>
      <c r="D14" s="90" t="str">
        <f>IF(Daten!I9="","",Daten!I9)</f>
        <v>Westfalen</v>
      </c>
      <c r="E14" s="94">
        <f>IF(S6="","",S6)</f>
        <v>23</v>
      </c>
      <c r="F14" s="49" t="s">
        <v>15</v>
      </c>
      <c r="G14" s="95">
        <f>IF(Q6="","",Q6)</f>
        <v>39</v>
      </c>
      <c r="H14" s="94">
        <f>IF(S8="","",S8)</f>
        <v>26</v>
      </c>
      <c r="I14" s="49" t="s">
        <v>15</v>
      </c>
      <c r="J14" s="95">
        <f>IF(Q8="","",Q8)</f>
        <v>32</v>
      </c>
      <c r="K14" s="94">
        <f>IF(S10="","",S10)</f>
        <v>25</v>
      </c>
      <c r="L14" s="49" t="s">
        <v>15</v>
      </c>
      <c r="M14" s="95">
        <f>IF(Q10="","",Q10)</f>
        <v>38</v>
      </c>
      <c r="N14" s="94">
        <f>IF(S12="","",S12)</f>
        <v>44</v>
      </c>
      <c r="O14" s="49" t="s">
        <v>15</v>
      </c>
      <c r="P14" s="95">
        <f>IF(Q12="","",Q12)</f>
        <v>24</v>
      </c>
      <c r="Q14" s="91"/>
      <c r="R14" s="92"/>
      <c r="S14" s="93"/>
      <c r="T14" s="96">
        <f>IF(Y15="","",SUM(E14,H14,K14,N14,Q14))</f>
        <v>118</v>
      </c>
      <c r="U14" s="49" t="s">
        <v>15</v>
      </c>
      <c r="V14" s="97">
        <f>IF(Y15="","",SUM(G14,J14,M14,P14,S14))</f>
        <v>133</v>
      </c>
      <c r="W14" s="110">
        <f>IF(Y14="","",RANK(X15,($X$7,$X$9,$X$11,$X$13,$X$15),0))</f>
        <v>4</v>
      </c>
      <c r="X14" s="308"/>
      <c r="Y14" s="99" t="s">
        <v>17</v>
      </c>
      <c r="AB14" s="34">
        <v>5</v>
      </c>
      <c r="AC14" s="100" t="str">
        <f>IF(W14="","",IF($W$6=5,$D$6,IF($W$8=5,$D$8,IF($W$10=5,$D$10,IF($W$12=5,$D$12,IF($W$14=5,$D$14,0))))))</f>
        <v>Pfalz</v>
      </c>
    </row>
    <row r="15" spans="1:31" ht="11.1" customHeight="1">
      <c r="C15" s="111"/>
      <c r="D15" s="112"/>
      <c r="E15" s="106">
        <f>IF(OR(E14="",E14=0),"",IF(E14&gt;G14,2,IF(E14&lt;G14,0,1)))</f>
        <v>0</v>
      </c>
      <c r="F15" s="40" t="s">
        <v>16</v>
      </c>
      <c r="G15" s="107">
        <f>IF(OR(G14="",G14=0),"",IF(G14&gt;E14,2,IF(G14&lt;E14,0,1)))</f>
        <v>2</v>
      </c>
      <c r="H15" s="106">
        <f>IF(OR(H14="",H14=0),"",IF(H14&gt;J14,2,IF(H14&lt;J14,0,1)))</f>
        <v>0</v>
      </c>
      <c r="I15" s="40" t="s">
        <v>16</v>
      </c>
      <c r="J15" s="107">
        <f>IF(OR(J14="",J14=0),"",IF(J14&gt;H14,2,IF(J14&lt;H14,0,1)))</f>
        <v>2</v>
      </c>
      <c r="K15" s="106">
        <f>IF(OR(K14="",K14=0),"",IF(K14&gt;M14,2,IF(K14&lt;M14,0,1)))</f>
        <v>0</v>
      </c>
      <c r="L15" s="40" t="s">
        <v>16</v>
      </c>
      <c r="M15" s="107">
        <f>IF(OR(M14="",M14=0),"",IF(M14&gt;K14,2,IF(M14&lt;K14,0,1)))</f>
        <v>2</v>
      </c>
      <c r="N15" s="106">
        <f>IF(OR(N14="",N14=0),"",IF(N14&gt;P14,2,IF(N14&lt;P14,0,1)))</f>
        <v>2</v>
      </c>
      <c r="O15" s="40" t="s">
        <v>16</v>
      </c>
      <c r="P15" s="107">
        <f>IF(OR(P14="",P14=0),"",IF(P14&gt;N14,2,IF(P14&lt;N14,0,1)))</f>
        <v>0</v>
      </c>
      <c r="Q15" s="103"/>
      <c r="R15" s="104"/>
      <c r="S15" s="105"/>
      <c r="T15" s="106">
        <f>IF(Y15="","",SUM(E15,H15,K15,N15,Q15))</f>
        <v>2</v>
      </c>
      <c r="U15" s="40" t="s">
        <v>16</v>
      </c>
      <c r="V15" s="107">
        <f>IF(Y15="","",SUM(G15,J15,M15,P15,S15))</f>
        <v>6</v>
      </c>
      <c r="W15" s="108"/>
      <c r="X15" s="309">
        <f>+(T15-V15)+T14/V14+T15</f>
        <v>-1.1127819548872182</v>
      </c>
      <c r="Y15" s="99" t="s">
        <v>17</v>
      </c>
    </row>
    <row r="16" spans="1:31" ht="10.15" customHeight="1">
      <c r="C16" s="113"/>
      <c r="D16" s="113"/>
      <c r="E16" s="114"/>
      <c r="F16" s="49"/>
      <c r="G16" s="115"/>
      <c r="H16" s="114"/>
      <c r="I16" s="49"/>
      <c r="J16" s="115"/>
      <c r="K16" s="114"/>
      <c r="L16" s="49"/>
      <c r="M16" s="115"/>
      <c r="N16" s="114"/>
      <c r="O16" s="49"/>
      <c r="P16" s="115"/>
      <c r="Q16" s="116"/>
      <c r="R16" s="116"/>
      <c r="S16" s="116"/>
      <c r="T16" s="114"/>
      <c r="U16" s="49"/>
      <c r="V16" s="115"/>
      <c r="W16" s="117"/>
      <c r="X16" s="309"/>
      <c r="Y16" s="99"/>
    </row>
    <row r="17" spans="1:46" ht="10.15" hidden="1" customHeight="1" outlineLevel="1">
      <c r="C17" s="118" t="s">
        <v>18</v>
      </c>
      <c r="D17" s="119" t="str">
        <f>+D6</f>
        <v>Niedersachsen</v>
      </c>
      <c r="E17" s="120"/>
      <c r="F17" s="121"/>
      <c r="G17" s="122"/>
      <c r="H17" s="123"/>
      <c r="I17" s="124" t="s">
        <v>15</v>
      </c>
      <c r="J17" s="125"/>
      <c r="K17" s="123"/>
      <c r="L17" s="124" t="s">
        <v>15</v>
      </c>
      <c r="M17" s="125"/>
      <c r="N17" s="123"/>
      <c r="O17" s="124" t="s">
        <v>15</v>
      </c>
      <c r="P17" s="125"/>
      <c r="Q17" s="126"/>
      <c r="R17" s="124" t="s">
        <v>15</v>
      </c>
      <c r="S17" s="127"/>
      <c r="T17" s="37"/>
      <c r="U17" s="38"/>
      <c r="V17" s="42"/>
      <c r="W17" s="41"/>
      <c r="X17" s="309"/>
      <c r="Y17" s="99"/>
    </row>
    <row r="18" spans="1:46" ht="10.15" hidden="1" customHeight="1" outlineLevel="1">
      <c r="C18" s="128"/>
      <c r="D18" s="119" t="str">
        <f>+D8</f>
        <v>Baden</v>
      </c>
      <c r="E18" s="123" t="str">
        <f>IF(J17="","",J17)</f>
        <v/>
      </c>
      <c r="F18" s="124" t="s">
        <v>15</v>
      </c>
      <c r="G18" s="125" t="str">
        <f>IF(H17="","",H17)</f>
        <v/>
      </c>
      <c r="H18" s="120"/>
      <c r="I18" s="121"/>
      <c r="J18" s="122"/>
      <c r="K18" s="123"/>
      <c r="L18" s="124" t="s">
        <v>15</v>
      </c>
      <c r="M18" s="125"/>
      <c r="N18" s="123"/>
      <c r="O18" s="124" t="s">
        <v>15</v>
      </c>
      <c r="P18" s="125"/>
      <c r="Q18" s="126"/>
      <c r="R18" s="124" t="s">
        <v>15</v>
      </c>
      <c r="S18" s="127"/>
      <c r="T18" s="37"/>
      <c r="U18" s="38"/>
      <c r="V18" s="42"/>
      <c r="W18" s="41"/>
      <c r="X18" s="309"/>
      <c r="Y18" s="99"/>
    </row>
    <row r="19" spans="1:46" ht="10.15" hidden="1" customHeight="1" outlineLevel="1">
      <c r="C19" s="128"/>
      <c r="D19" s="119" t="str">
        <f>+D10</f>
        <v>Bremen</v>
      </c>
      <c r="E19" s="123" t="str">
        <f>IF(M17="","",M17)</f>
        <v/>
      </c>
      <c r="F19" s="124" t="s">
        <v>15</v>
      </c>
      <c r="G19" s="125" t="str">
        <f>IF(K17="","",K17)</f>
        <v/>
      </c>
      <c r="H19" s="123" t="str">
        <f>IF(M18="","",M18)</f>
        <v/>
      </c>
      <c r="I19" s="124" t="s">
        <v>15</v>
      </c>
      <c r="J19" s="125" t="str">
        <f>IF(K18="","",K18)</f>
        <v/>
      </c>
      <c r="K19" s="120"/>
      <c r="L19" s="121"/>
      <c r="M19" s="122"/>
      <c r="N19" s="123"/>
      <c r="O19" s="124" t="s">
        <v>15</v>
      </c>
      <c r="P19" s="125"/>
      <c r="Q19" s="126"/>
      <c r="R19" s="124" t="s">
        <v>15</v>
      </c>
      <c r="S19" s="127"/>
      <c r="T19" s="37"/>
      <c r="U19" s="38"/>
      <c r="V19" s="42"/>
      <c r="W19" s="41"/>
      <c r="X19" s="309"/>
      <c r="Y19" s="99"/>
    </row>
    <row r="20" spans="1:46" ht="10.15" hidden="1" customHeight="1" outlineLevel="1">
      <c r="C20" s="128"/>
      <c r="D20" s="119" t="str">
        <f>+D12</f>
        <v>Pfalz</v>
      </c>
      <c r="E20" s="123" t="str">
        <f>IF(P17="","",P17)</f>
        <v/>
      </c>
      <c r="F20" s="124" t="s">
        <v>15</v>
      </c>
      <c r="G20" s="125" t="str">
        <f>IF(N17="","",N17)</f>
        <v/>
      </c>
      <c r="H20" s="123" t="str">
        <f>IF(P18="","",P18)</f>
        <v/>
      </c>
      <c r="I20" s="124" t="s">
        <v>15</v>
      </c>
      <c r="J20" s="125" t="str">
        <f>IF(N18="","",N18)</f>
        <v/>
      </c>
      <c r="K20" s="123" t="str">
        <f>IF(P19="","",P19)</f>
        <v/>
      </c>
      <c r="L20" s="124" t="s">
        <v>15</v>
      </c>
      <c r="M20" s="125" t="str">
        <f>IF(N19="","",N19)</f>
        <v/>
      </c>
      <c r="N20" s="120"/>
      <c r="O20" s="121"/>
      <c r="P20" s="122"/>
      <c r="Q20" s="126"/>
      <c r="R20" s="124" t="s">
        <v>15</v>
      </c>
      <c r="S20" s="127"/>
      <c r="T20" s="37"/>
      <c r="U20" s="38"/>
      <c r="V20" s="42"/>
      <c r="W20" s="41"/>
      <c r="X20" s="309"/>
      <c r="Y20" s="99"/>
    </row>
    <row r="21" spans="1:46" ht="10.15" hidden="1" customHeight="1" outlineLevel="1">
      <c r="C21" s="128"/>
      <c r="D21" s="119" t="str">
        <f>+D14</f>
        <v>Westfalen</v>
      </c>
      <c r="E21" s="123" t="str">
        <f>IF(S17="","",S17)</f>
        <v/>
      </c>
      <c r="F21" s="124" t="s">
        <v>15</v>
      </c>
      <c r="G21" s="125" t="str">
        <f>IF(Q17="","",Q17)</f>
        <v/>
      </c>
      <c r="H21" s="123" t="str">
        <f>IF(S18="","",S18)</f>
        <v/>
      </c>
      <c r="I21" s="124" t="s">
        <v>15</v>
      </c>
      <c r="J21" s="125" t="str">
        <f>IF(Q18="","",Q18)</f>
        <v/>
      </c>
      <c r="K21" s="123" t="str">
        <f>IF(S19="","",S19)</f>
        <v/>
      </c>
      <c r="L21" s="124" t="s">
        <v>15</v>
      </c>
      <c r="M21" s="125" t="str">
        <f>IF(Q19="","",Q19)</f>
        <v/>
      </c>
      <c r="N21" s="123" t="str">
        <f>IF(S20="","",S20)</f>
        <v/>
      </c>
      <c r="O21" s="124" t="s">
        <v>15</v>
      </c>
      <c r="P21" s="125" t="str">
        <f>IF(Q20="","",Q20)</f>
        <v/>
      </c>
      <c r="Q21" s="120"/>
      <c r="R21" s="129"/>
      <c r="S21" s="122"/>
      <c r="T21" s="37"/>
      <c r="U21" s="38"/>
      <c r="V21" s="42"/>
      <c r="W21" s="41"/>
      <c r="X21" s="309"/>
      <c r="Y21" s="99"/>
    </row>
    <row r="22" spans="1:46" collapsed="1">
      <c r="X22" s="308"/>
    </row>
    <row r="23" spans="1:46" ht="21.75" customHeight="1">
      <c r="C23" s="74"/>
      <c r="D23" s="75"/>
      <c r="E23" s="70"/>
      <c r="F23" s="130">
        <v>11</v>
      </c>
      <c r="G23" s="131"/>
      <c r="H23" s="130"/>
      <c r="I23" s="130">
        <v>12</v>
      </c>
      <c r="J23" s="130"/>
      <c r="K23" s="130"/>
      <c r="L23" s="130">
        <v>13</v>
      </c>
      <c r="M23" s="130"/>
      <c r="N23" s="130"/>
      <c r="O23" s="130">
        <v>14</v>
      </c>
      <c r="P23" s="130"/>
      <c r="Q23" s="130"/>
      <c r="R23" s="130">
        <v>15</v>
      </c>
      <c r="S23" s="132"/>
      <c r="T23" s="75"/>
      <c r="U23" s="75"/>
      <c r="V23" s="75"/>
      <c r="W23" s="75"/>
      <c r="X23" s="308"/>
    </row>
    <row r="24" spans="1:46" ht="12.75" customHeight="1" collapsed="1">
      <c r="C24" s="84"/>
      <c r="D24" s="83" t="str">
        <f>+Daten!L4</f>
        <v>Gruppe D</v>
      </c>
      <c r="E24" s="81"/>
      <c r="F24" s="79" t="str">
        <f>+D25</f>
        <v>Schwaben</v>
      </c>
      <c r="G24" s="87"/>
      <c r="H24" s="81"/>
      <c r="I24" s="79" t="str">
        <f>+D27</f>
        <v>Berlin</v>
      </c>
      <c r="J24" s="87"/>
      <c r="K24" s="81"/>
      <c r="L24" s="79" t="str">
        <f>+D29</f>
        <v>Sachsen</v>
      </c>
      <c r="M24" s="87"/>
      <c r="N24" s="81"/>
      <c r="O24" s="79" t="str">
        <f>+D31</f>
        <v>Rheinland</v>
      </c>
      <c r="P24" s="87"/>
      <c r="Q24" s="81"/>
      <c r="R24" s="79" t="str">
        <f>+D33</f>
        <v/>
      </c>
      <c r="S24" s="87"/>
      <c r="T24" s="81"/>
      <c r="U24" s="86" t="s">
        <v>12</v>
      </c>
      <c r="V24" s="87"/>
      <c r="W24" s="88" t="s">
        <v>13</v>
      </c>
      <c r="X24" s="308"/>
    </row>
    <row r="25" spans="1:46" ht="15.2" customHeight="1">
      <c r="A25" s="34">
        <v>11</v>
      </c>
      <c r="C25" s="89" t="str">
        <f>IF(Daten!K5="","",Daten!K5)</f>
        <v/>
      </c>
      <c r="D25" s="90" t="str">
        <f>IF(Daten!L5="","",Daten!L5)</f>
        <v>Schwaben</v>
      </c>
      <c r="E25" s="91"/>
      <c r="F25" s="92"/>
      <c r="G25" s="93"/>
      <c r="H25" s="94">
        <f>IF(ISERROR(VLOOKUP($A$4&amp;TEXT($A25,"00")&amp;TEXT(I$23,"00"),Samstag!$B$24:$T$162,16,FALSE)),"",VLOOKUP($A$4&amp;TEXT($A25,"00")&amp;TEXT(I$23,"00"),Samstag!$B$24:$T$162,16,FALSE))</f>
        <v>30</v>
      </c>
      <c r="I25" s="49" t="s">
        <v>15</v>
      </c>
      <c r="J25" s="95">
        <f>IF(ISERROR(VLOOKUP($A$4&amp;TEXT($A25,"00")&amp;TEXT(I$23,"00"),Samstag!$B$24:$T$162,18,FALSE)),"",VLOOKUP($A$4&amp;TEXT($A25,"00")&amp;TEXT(I$23,"00"),Samstag!$B$24:$T$162,18,FALSE))</f>
        <v>29</v>
      </c>
      <c r="K25" s="94">
        <f>IF(ISERROR(VLOOKUP($A$4&amp;TEXT($A25,"00")&amp;TEXT(L$23,"00"),Samstag!$B$24:$T$162,16,FALSE)),"",VLOOKUP($A$4&amp;TEXT($A25,"00")&amp;TEXT(L$23,"00"),Samstag!$B$24:$T$162,16,FALSE))</f>
        <v>21</v>
      </c>
      <c r="L25" s="49" t="s">
        <v>15</v>
      </c>
      <c r="M25" s="95">
        <f>IF(ISERROR(VLOOKUP($A$4&amp;TEXT($A25,"00")&amp;TEXT(L$23,"00"),Samstag!$B$24:$T$162,18,FALSE)),"",VLOOKUP($A$4&amp;TEXT($A25,"00")&amp;TEXT(L$23,"00"),Samstag!$B$24:$T$162,18,FALSE))</f>
        <v>35</v>
      </c>
      <c r="N25" s="94">
        <f>IF(ISERROR(VLOOKUP($A$4&amp;TEXT($A25,"00")&amp;TEXT(O$23,"00"),Samstag!$B$24:$T$162,16,FALSE)),"",VLOOKUP($A$4&amp;TEXT($A25,"00")&amp;TEXT(O$23,"00"),Samstag!$B$24:$T$162,16,FALSE))</f>
        <v>31</v>
      </c>
      <c r="O25" s="49" t="s">
        <v>15</v>
      </c>
      <c r="P25" s="95">
        <f>IF(ISERROR(VLOOKUP($A$4&amp;TEXT($A25,"00")&amp;TEXT(O$23,"00"),Samstag!$B$24:$T$162,18,FALSE)),"",VLOOKUP($A$4&amp;TEXT($A25,"00")&amp;TEXT(O$23,"00"),Samstag!$B$24:$T$162,18,FALSE))</f>
        <v>25</v>
      </c>
      <c r="Q25" s="94" t="str">
        <f>IF(ISERROR(VLOOKUP($A$4&amp;TEXT($A25,"00")&amp;TEXT(R$23,"00"),Samstag!$B$24:$T$162,16,FALSE)),"",VLOOKUP($A$4&amp;TEXT($A25,"00")&amp;TEXT(R$23,"00"),Samstag!$B$24:$T$162,16,FALSE))</f>
        <v/>
      </c>
      <c r="R25" s="49" t="s">
        <v>15</v>
      </c>
      <c r="S25" s="95" t="str">
        <f>IF(ISERROR(VLOOKUP($A$4&amp;TEXT($A25,"00")&amp;TEXT(R$23,"00"),Samstag!$B$24:$T$162,18,FALSE)),"",VLOOKUP($A$4&amp;TEXT($A25,"00")&amp;TEXT(R$23,"00"),Samstag!$B$24:$T$162,18,FALSE))</f>
        <v/>
      </c>
      <c r="T25" s="96">
        <f>IF(Y26="","",SUM(E25,H25,K25,N25,Q25))</f>
        <v>82</v>
      </c>
      <c r="U25" s="49" t="s">
        <v>15</v>
      </c>
      <c r="V25" s="97">
        <f>IF(Y26="","",SUM(G25,J25,M25,P25,S25))</f>
        <v>89</v>
      </c>
      <c r="W25" s="110">
        <f>IF(Y25="","",RANK(X26,($X$26,$X$28,$X$30,$X$32,$X$34),0))</f>
        <v>2</v>
      </c>
      <c r="X25" s="308"/>
      <c r="Y25" s="99" t="s">
        <v>17</v>
      </c>
      <c r="AB25" s="34">
        <v>1</v>
      </c>
      <c r="AC25" s="34" t="str">
        <f>IF(W25="","",IF($W$25=1,$D$25,IF($W$27=1,$D$27,IF($W$29=1,$D$29,IF($W$31=1,$D$31,IF($W$33=1,$D$33,0))))))</f>
        <v>Sachsen</v>
      </c>
    </row>
    <row r="26" spans="1:46" ht="11.1" customHeight="1">
      <c r="C26" s="133"/>
      <c r="D26" s="134"/>
      <c r="E26" s="103"/>
      <c r="F26" s="104"/>
      <c r="G26" s="105"/>
      <c r="H26" s="106">
        <f>IF(OR(H25="",H25=0),"",IF(H25&gt;J25,2,IF(H25&lt;J25,0,1)))</f>
        <v>2</v>
      </c>
      <c r="I26" s="40" t="s">
        <v>16</v>
      </c>
      <c r="J26" s="107">
        <f>IF(OR(J25="",J25=0),"",IF(J25&gt;H25,2,IF(J25&lt;H25,0,1)))</f>
        <v>0</v>
      </c>
      <c r="K26" s="106">
        <f>IF(OR(K25="",K25=0),"",IF(K25&gt;M25,2,IF(K25&lt;M25,0,1)))</f>
        <v>0</v>
      </c>
      <c r="L26" s="40" t="s">
        <v>16</v>
      </c>
      <c r="M26" s="107">
        <f>IF(OR(M25="",M25=0),"",IF(M25&gt;K25,2,IF(M25&lt;K25,0,1)))</f>
        <v>2</v>
      </c>
      <c r="N26" s="106">
        <f>IF(OR(N25="",N25=0),"",IF(N25&gt;P25,2,IF(N25&lt;P25,0,1)))</f>
        <v>2</v>
      </c>
      <c r="O26" s="40" t="s">
        <v>16</v>
      </c>
      <c r="P26" s="107">
        <f>IF(OR(P25="",P25=0),"",IF(P25&gt;N25,2,IF(P25&lt;N25,0,1)))</f>
        <v>0</v>
      </c>
      <c r="Q26" s="106" t="str">
        <f>IF(OR(Q25="",Q25=0),"",IF(Q25&gt;S25,2,IF(Q25&lt;S25,0,1)))</f>
        <v/>
      </c>
      <c r="R26" s="40" t="s">
        <v>16</v>
      </c>
      <c r="S26" s="107" t="str">
        <f>IF(OR(S25="",S25=0),"",IF(S25&gt;Q25,2,IF(S25&lt;Q25,0,1)))</f>
        <v/>
      </c>
      <c r="T26" s="106">
        <f>IF(Y26="","",SUM(E26,H26,K26,N26,Q26))</f>
        <v>4</v>
      </c>
      <c r="U26" s="40" t="s">
        <v>16</v>
      </c>
      <c r="V26" s="107">
        <f>IF(Y26="","",SUM(G26,J26,M26,P26,S26))</f>
        <v>2</v>
      </c>
      <c r="W26" s="108"/>
      <c r="X26" s="309">
        <f>+(T26-V26)+T25/V25+T26</f>
        <v>6.9213483146067416</v>
      </c>
      <c r="Y26" s="99" t="s">
        <v>17</v>
      </c>
    </row>
    <row r="27" spans="1:46" ht="15.2" customHeight="1">
      <c r="A27" s="34">
        <v>12</v>
      </c>
      <c r="C27" s="89" t="str">
        <f>IF(Daten!K6="","",Daten!K6)</f>
        <v/>
      </c>
      <c r="D27" s="90" t="str">
        <f>IF(Daten!L6="","",Daten!L6)</f>
        <v>Berlin</v>
      </c>
      <c r="E27" s="94">
        <f>IF(J25="","",J25)</f>
        <v>29</v>
      </c>
      <c r="F27" s="49" t="s">
        <v>15</v>
      </c>
      <c r="G27" s="95">
        <f>IF(H25="","",H25)</f>
        <v>30</v>
      </c>
      <c r="H27" s="91"/>
      <c r="I27" s="92"/>
      <c r="J27" s="93"/>
      <c r="K27" s="94">
        <f>IF(ISERROR(VLOOKUP($A$4&amp;TEXT($A27,"00")&amp;TEXT(L$23,"00"),Samstag!$B$24:$T$162,16,FALSE)),"",VLOOKUP($A$4&amp;TEXT($A27,"00")&amp;TEXT(L$23,"00"),Samstag!$B$24:$T$162,16,FALSE))</f>
        <v>18</v>
      </c>
      <c r="L27" s="49" t="s">
        <v>15</v>
      </c>
      <c r="M27" s="95">
        <f>IF(ISERROR(VLOOKUP($A$4&amp;TEXT($A27,"00")&amp;TEXT(L$23,"00"),Samstag!$B$24:$T$162,18,FALSE)),"",VLOOKUP($A$4&amp;TEXT($A27,"00")&amp;TEXT(L$23,"00"),Samstag!$B$24:$T$162,18,FALSE))</f>
        <v>37</v>
      </c>
      <c r="N27" s="94">
        <f>IF(ISERROR(VLOOKUP($A$4&amp;TEXT($A27,"00")&amp;TEXT(O$23,"00"),Samstag!$B$24:$T$162,16,FALSE)),"",VLOOKUP($A$4&amp;TEXT($A27,"00")&amp;TEXT(O$23,"00"),Samstag!$B$24:$T$162,16,FALSE))</f>
        <v>25</v>
      </c>
      <c r="O27" s="49" t="s">
        <v>15</v>
      </c>
      <c r="P27" s="95">
        <f>IF(ISERROR(VLOOKUP($A$4&amp;TEXT($A27,"00")&amp;TEXT(O$23,"00"),Samstag!$B$24:$T$162,18,FALSE)),"",VLOOKUP($A$4&amp;TEXT($A27,"00")&amp;TEXT(O$23,"00"),Samstag!$B$24:$T$162,18,FALSE))</f>
        <v>38</v>
      </c>
      <c r="Q27" s="94" t="str">
        <f>IF(ISERROR(VLOOKUP($A$4&amp;TEXT($A27,"00")&amp;TEXT(R$23,"00"),Samstag!$B$24:$T$162,16,FALSE)),"",VLOOKUP($A$4&amp;TEXT($A27,"00")&amp;TEXT(R$23,"00"),Samstag!$B$24:$T$162,16,FALSE))</f>
        <v/>
      </c>
      <c r="R27" s="49" t="s">
        <v>15</v>
      </c>
      <c r="S27" s="95" t="str">
        <f>IF(ISERROR(VLOOKUP($A$4&amp;TEXT($A27,"00")&amp;TEXT(R$23,"00"),Samstag!$B$24:$T$162,18,FALSE)),"",VLOOKUP($A$4&amp;TEXT($A27,"00")&amp;TEXT(R$23,"00"),Samstag!$B$24:$T$162,18,FALSE))</f>
        <v/>
      </c>
      <c r="T27" s="96">
        <f>IF(Y28="","",SUM(E27,H27,K27,N27,Q27))</f>
        <v>72</v>
      </c>
      <c r="U27" s="49" t="s">
        <v>15</v>
      </c>
      <c r="V27" s="97">
        <f>IF(Y28="","",SUM(G27,J27,M27,P27,S27))</f>
        <v>105</v>
      </c>
      <c r="W27" s="110">
        <f>IF(Y27="","",RANK(X28,($X$26,$X$28,$X$30,$X$32,$X$34),0))</f>
        <v>4</v>
      </c>
      <c r="X27" s="308"/>
      <c r="Y27" s="99" t="s">
        <v>17</v>
      </c>
      <c r="AB27" s="34">
        <v>2</v>
      </c>
      <c r="AC27" s="34" t="str">
        <f>IF(W27="","",IF($W$25=2,$D$25,IF($W$27=2,$D$27,IF($W$29=2,$D$29,IF($W$31=2,$D$31,IF($W$33=2,$D$33,0))))))</f>
        <v>Schwaben</v>
      </c>
    </row>
    <row r="28" spans="1:46" ht="11.1" customHeight="1">
      <c r="C28" s="133"/>
      <c r="D28" s="134"/>
      <c r="E28" s="106">
        <f>IF(OR(E27="",E27=0),"",IF(E27&gt;G27,2,IF(E27&lt;G27,0,1)))</f>
        <v>0</v>
      </c>
      <c r="F28" s="40" t="s">
        <v>16</v>
      </c>
      <c r="G28" s="107">
        <f>IF(OR(G27="",G27=0),"",IF(G27&gt;E27,2,IF(G27&lt;E27,0,1)))</f>
        <v>2</v>
      </c>
      <c r="H28" s="103"/>
      <c r="I28" s="104"/>
      <c r="J28" s="105"/>
      <c r="K28" s="106">
        <f>IF(OR(K27="",K27=0),"",IF(K27&gt;M27,2,IF(K27&lt;M27,0,1)))</f>
        <v>0</v>
      </c>
      <c r="L28" s="40" t="s">
        <v>16</v>
      </c>
      <c r="M28" s="107">
        <f>IF(OR(M27="",M27=0),"",IF(M27&gt;K27,2,IF(M27&lt;K27,0,1)))</f>
        <v>2</v>
      </c>
      <c r="N28" s="106">
        <f>IF(OR(N27="",N27=0),"",IF(N27&gt;P27,2,IF(N27&lt;P27,0,1)))</f>
        <v>0</v>
      </c>
      <c r="O28" s="40" t="s">
        <v>16</v>
      </c>
      <c r="P28" s="107">
        <f>IF(OR(P27="",P27=0),"",IF(P27&gt;N27,2,IF(P27&lt;N27,0,1)))</f>
        <v>2</v>
      </c>
      <c r="Q28" s="106" t="str">
        <f>IF(OR(Q27="",Q27=0),"",IF(Q27&gt;S27,2,IF(Q27&lt;S27,0,1)))</f>
        <v/>
      </c>
      <c r="R28" s="40" t="s">
        <v>16</v>
      </c>
      <c r="S28" s="107" t="str">
        <f>IF(OR(S27="",S27=0),"",IF(S27&gt;Q27,2,IF(S27&lt;Q27,0,1)))</f>
        <v/>
      </c>
      <c r="T28" s="106">
        <f>IF(Y28="","",SUM(E28,H28,K28,N28,Q28))</f>
        <v>0</v>
      </c>
      <c r="U28" s="40" t="s">
        <v>16</v>
      </c>
      <c r="V28" s="107">
        <f>IF(Y28="","",SUM(G28,J28,M28,P28,S28))</f>
        <v>6</v>
      </c>
      <c r="W28" s="108"/>
      <c r="X28" s="309">
        <f>+(T28-V28)+T27/V27+T28</f>
        <v>-5.3142857142857141</v>
      </c>
      <c r="Y28" s="99" t="s">
        <v>17</v>
      </c>
    </row>
    <row r="29" spans="1:46" ht="15.2" customHeight="1">
      <c r="A29" s="34">
        <v>13</v>
      </c>
      <c r="C29" s="89" t="str">
        <f>IF(Daten!K7="","",Daten!K7)</f>
        <v/>
      </c>
      <c r="D29" s="90" t="str">
        <f>IF(Daten!L7="","",Daten!L7)</f>
        <v>Sachsen</v>
      </c>
      <c r="E29" s="94">
        <f>IF(M25="","",M25)</f>
        <v>35</v>
      </c>
      <c r="F29" s="49" t="s">
        <v>15</v>
      </c>
      <c r="G29" s="95">
        <f>IF(K25="","",K25)</f>
        <v>21</v>
      </c>
      <c r="H29" s="94">
        <f>IF(M27="","",M27)</f>
        <v>37</v>
      </c>
      <c r="I29" s="49" t="s">
        <v>15</v>
      </c>
      <c r="J29" s="95">
        <f>IF(K27="","",K27)</f>
        <v>18</v>
      </c>
      <c r="K29" s="91"/>
      <c r="L29" s="92"/>
      <c r="M29" s="93"/>
      <c r="N29" s="94">
        <f>IF(ISERROR(VLOOKUP($A$4&amp;TEXT($A29,"00")&amp;TEXT(O$23,"00"),Samstag!$B$24:$T$162,16,FALSE)),"",VLOOKUP($A$4&amp;TEXT($A29,"00")&amp;TEXT(O$23,"00"),Samstag!$B$24:$T$162,16,FALSE))</f>
        <v>33</v>
      </c>
      <c r="O29" s="49" t="s">
        <v>15</v>
      </c>
      <c r="P29" s="95">
        <f>IF(ISERROR(VLOOKUP($A$4&amp;TEXT($A29,"00")&amp;TEXT(O$23,"00"),Samstag!$B$24:$T$162,18,FALSE)),"",VLOOKUP($A$4&amp;TEXT($A29,"00")&amp;TEXT(O$23,"00"),Samstag!$B$24:$T$162,18,FALSE))</f>
        <v>31</v>
      </c>
      <c r="Q29" s="94" t="str">
        <f>IF(ISERROR(VLOOKUP($A$4&amp;TEXT($A29,"00")&amp;TEXT(R$23,"00"),Samstag!$B$24:$T$162,16,FALSE)),"",VLOOKUP($A$4&amp;TEXT($A29,"00")&amp;TEXT(R$23,"00"),Samstag!$B$24:$T$162,16,FALSE))</f>
        <v/>
      </c>
      <c r="R29" s="49" t="s">
        <v>15</v>
      </c>
      <c r="S29" s="95" t="str">
        <f>IF(ISERROR(VLOOKUP($A$4&amp;TEXT($A29,"00")&amp;TEXT(R$23,"00"),Samstag!$B$24:$T$162,18,FALSE)),"",VLOOKUP($A$4&amp;TEXT($A29,"00")&amp;TEXT(R$23,"00"),Samstag!$B$24:$T$162,18,FALSE))</f>
        <v/>
      </c>
      <c r="T29" s="96">
        <f>IF(Y30="","",SUM(E29,H29,K29,N29,Q29))</f>
        <v>105</v>
      </c>
      <c r="U29" s="49" t="s">
        <v>15</v>
      </c>
      <c r="V29" s="97">
        <f>IF(Y30="","",SUM(G29,J29,M29,P29,S29))</f>
        <v>70</v>
      </c>
      <c r="W29" s="110">
        <f>IF(Y29="","",RANK(X30,($X$26,$X$28,$X$30,$X$32,$X$34),0))</f>
        <v>1</v>
      </c>
      <c r="X29" s="308"/>
      <c r="Y29" s="99" t="s">
        <v>17</v>
      </c>
      <c r="AB29" s="34">
        <v>3</v>
      </c>
      <c r="AC29" s="34" t="str">
        <f>IF(W29="","",IF($W$25=3,$D$25,IF($W$27=3,$D$27,IF($W$29=3,$D$29,IF($W$31=3,$D$31,IF($W$33=3,$D$33,0))))))</f>
        <v>Rheinland</v>
      </c>
      <c r="AD29" s="190">
        <v>1</v>
      </c>
      <c r="AE29" s="191" t="str">
        <f>IF(AC12="","4. "&amp;D5,AC12)</f>
        <v>Westfalen</v>
      </c>
      <c r="AF29" s="192"/>
      <c r="AG29" s="179"/>
      <c r="AH29" s="193"/>
      <c r="AI29" s="190">
        <f>+K44</f>
        <v>31</v>
      </c>
      <c r="AJ29" s="49" t="s">
        <v>15</v>
      </c>
      <c r="AK29" s="191">
        <f>+M44</f>
        <v>28</v>
      </c>
      <c r="AL29" s="190">
        <f>+K46</f>
        <v>28</v>
      </c>
      <c r="AM29" s="49" t="s">
        <v>15</v>
      </c>
      <c r="AN29" s="191">
        <f>+M46</f>
        <v>26</v>
      </c>
      <c r="AO29" s="96">
        <f>IF(AT30="","",SUM(AF29,AI29,AL29))</f>
        <v>59</v>
      </c>
      <c r="AP29" s="49" t="s">
        <v>15</v>
      </c>
      <c r="AQ29" s="97">
        <f>IF(AT30="","",SUM(AH29,AK29,AN29))</f>
        <v>54</v>
      </c>
      <c r="AR29" s="110">
        <f>IF(AT29="","",RANK(AS30,($AS$30,$AS$32,$AS$34),0))</f>
        <v>1</v>
      </c>
      <c r="AT29" s="34" t="s">
        <v>17</v>
      </c>
    </row>
    <row r="30" spans="1:46" ht="11.1" customHeight="1">
      <c r="C30" s="135"/>
      <c r="D30" s="136"/>
      <c r="E30" s="106">
        <f>IF(OR(E29="",E29=0),"",IF(E29&gt;G29,2,IF(E29&lt;G29,0,1)))</f>
        <v>2</v>
      </c>
      <c r="F30" s="40" t="s">
        <v>16</v>
      </c>
      <c r="G30" s="107">
        <f>IF(OR(G29="",G29=0),"",IF(G29&gt;E29,2,IF(G29&lt;E29,0,1)))</f>
        <v>0</v>
      </c>
      <c r="H30" s="106">
        <f>IF(OR(H29="",H29=0),"",IF(H29&gt;J29,2,IF(H29&lt;J29,0,1)))</f>
        <v>2</v>
      </c>
      <c r="I30" s="40" t="s">
        <v>16</v>
      </c>
      <c r="J30" s="107">
        <f>IF(OR(J29="",J29=0),"",IF(J29&gt;H29,2,IF(J29&lt;H29,0,1)))</f>
        <v>0</v>
      </c>
      <c r="K30" s="103"/>
      <c r="L30" s="104"/>
      <c r="M30" s="105"/>
      <c r="N30" s="106">
        <f>IF(OR(N29="",N29=0),"",IF(N29&gt;P29,2,IF(N29&lt;P29,0,1)))</f>
        <v>2</v>
      </c>
      <c r="O30" s="40" t="s">
        <v>16</v>
      </c>
      <c r="P30" s="107">
        <f>IF(OR(P29="",P29=0),"",IF(P29&gt;N29,2,IF(P29&lt;N29,0,1)))</f>
        <v>0</v>
      </c>
      <c r="Q30" s="106" t="str">
        <f>IF(OR(Q29="",Q29=0),"",IF(Q29&gt;S29,2,IF(Q29&lt;S29,0,1)))</f>
        <v/>
      </c>
      <c r="R30" s="40" t="s">
        <v>16</v>
      </c>
      <c r="S30" s="107" t="str">
        <f>IF(OR(S29="",S29=0),"",IF(S29&gt;Q29,2,IF(S29&lt;Q29,0,1)))</f>
        <v/>
      </c>
      <c r="T30" s="106">
        <f>IF(Y30="","",SUM(E30,H30,K30,N30,Q30))</f>
        <v>6</v>
      </c>
      <c r="U30" s="40" t="s">
        <v>16</v>
      </c>
      <c r="V30" s="107">
        <f>IF(Y30="","",SUM(G30,J30,M30,P30,S30))</f>
        <v>0</v>
      </c>
      <c r="W30" s="108"/>
      <c r="X30" s="309">
        <f>+(T30-V30)+T29/V29+T30</f>
        <v>13.5</v>
      </c>
      <c r="Y30" s="99" t="s">
        <v>17</v>
      </c>
      <c r="AD30" s="194"/>
      <c r="AE30" s="195"/>
      <c r="AF30" s="196"/>
      <c r="AG30" s="197"/>
      <c r="AH30" s="198"/>
      <c r="AI30" s="106">
        <f>IF(OR(AI29="",AI29=0),"",IF(AI29&gt;AK29,2,IF(AI29&lt;AK29,0,1)))</f>
        <v>2</v>
      </c>
      <c r="AJ30" s="40" t="s">
        <v>16</v>
      </c>
      <c r="AK30" s="107">
        <f>IF(OR(AK29="",AK29=0),"",IF(AK29&gt;AI29,2,IF(AK29&lt;AI29,0,1)))</f>
        <v>0</v>
      </c>
      <c r="AL30" s="106">
        <f>IF(OR(AL29="",AL29=0),"",IF(AL29&gt;AN29,2,IF(AL29&lt;AN29,0,1)))</f>
        <v>2</v>
      </c>
      <c r="AM30" s="40" t="s">
        <v>16</v>
      </c>
      <c r="AN30" s="107">
        <f>IF(OR(AN29="",AN29=0),"",IF(AN29&gt;AL29,2,IF(AN29&lt;AL29,0,1)))</f>
        <v>0</v>
      </c>
      <c r="AO30" s="106">
        <f>IF(AT30="","",SUM(AF30,AI30,AL30))</f>
        <v>4</v>
      </c>
      <c r="AP30" s="40" t="s">
        <v>16</v>
      </c>
      <c r="AQ30" s="107">
        <f>IF(AT30="","",SUM(AH30,AK30,AN30))</f>
        <v>0</v>
      </c>
      <c r="AR30" s="199"/>
      <c r="AS30" s="109">
        <f>+(AO30-AQ30)+AO29/AQ29+AO30</f>
        <v>9.0925925925925917</v>
      </c>
      <c r="AT30" s="34" t="s">
        <v>17</v>
      </c>
    </row>
    <row r="31" spans="1:46" ht="15.2" customHeight="1">
      <c r="A31" s="34">
        <v>14</v>
      </c>
      <c r="C31" s="89" t="str">
        <f>IF(Daten!K8="","",Daten!K8)</f>
        <v/>
      </c>
      <c r="D31" s="90" t="str">
        <f>IF(Daten!L8="","",Daten!L8)</f>
        <v>Rheinland</v>
      </c>
      <c r="E31" s="94">
        <f>IF(P25="","",P25)</f>
        <v>25</v>
      </c>
      <c r="F31" s="49" t="s">
        <v>15</v>
      </c>
      <c r="G31" s="95">
        <f>IF(N25="","",N25)</f>
        <v>31</v>
      </c>
      <c r="H31" s="94">
        <f>IF(P27="","",P27)</f>
        <v>38</v>
      </c>
      <c r="I31" s="49" t="s">
        <v>15</v>
      </c>
      <c r="J31" s="95">
        <f>IF(N27="","",N27)</f>
        <v>25</v>
      </c>
      <c r="K31" s="94">
        <f>IF(P29="","",P29)</f>
        <v>31</v>
      </c>
      <c r="L31" s="49" t="s">
        <v>15</v>
      </c>
      <c r="M31" s="95">
        <f>IF(N29="","",N29)</f>
        <v>33</v>
      </c>
      <c r="N31" s="91"/>
      <c r="O31" s="92"/>
      <c r="P31" s="93"/>
      <c r="Q31" s="94" t="str">
        <f>IF(ISERROR(VLOOKUP($A$4&amp;TEXT($A31,"00")&amp;TEXT(R$23,"00"),Samstag!$B$24:$T$162,16,FALSE)),"",VLOOKUP($A$4&amp;TEXT($A31,"00")&amp;TEXT(R$23,"00"),Samstag!$B$24:$T$162,16,FALSE))</f>
        <v/>
      </c>
      <c r="R31" s="49" t="s">
        <v>15</v>
      </c>
      <c r="S31" s="95" t="str">
        <f>IF(ISERROR(VLOOKUP($A$4&amp;TEXT($A31,"00")&amp;TEXT(R$23,"00"),Samstag!$B$24:$T$162,18,FALSE)),"",VLOOKUP($A$4&amp;TEXT($A31,"00")&amp;TEXT(R$23,"00"),Samstag!$B$24:$T$162,18,FALSE))</f>
        <v/>
      </c>
      <c r="T31" s="96">
        <f>IF(Y32="","",SUM(E31,H31,K31,N31,Q31))</f>
        <v>94</v>
      </c>
      <c r="U31" s="49" t="s">
        <v>15</v>
      </c>
      <c r="V31" s="97">
        <f>IF(Y32="","",SUM(G31,J31,M31,P31,S31))</f>
        <v>89</v>
      </c>
      <c r="W31" s="110">
        <f>IF(Y31="","",RANK(X32,($X$26,$X$28,$X$30,$X$32,$X$34),0))</f>
        <v>3</v>
      </c>
      <c r="X31" s="308"/>
      <c r="Y31" s="99" t="s">
        <v>17</v>
      </c>
      <c r="AB31" s="34">
        <v>4</v>
      </c>
      <c r="AC31" s="34" t="str">
        <f>IF(W31="","",IF($W$25=4,$D$25,IF($W$27=4,$D$27,IF($W$29=4,$D$29,IF($W$31=4,$D$31,IF($W$33=4,$D$33,0))))))</f>
        <v>Berlin</v>
      </c>
      <c r="AD31" s="190">
        <v>2</v>
      </c>
      <c r="AE31" s="191" t="str">
        <f>IF(AC14="","5. "&amp;D5,AC14)</f>
        <v>Pfalz</v>
      </c>
      <c r="AF31" s="190">
        <f>+AK29</f>
        <v>28</v>
      </c>
      <c r="AG31" s="49" t="s">
        <v>15</v>
      </c>
      <c r="AH31" s="191">
        <f>+AI29</f>
        <v>31</v>
      </c>
      <c r="AI31" s="192"/>
      <c r="AJ31" s="179"/>
      <c r="AK31" s="193"/>
      <c r="AL31" s="190">
        <f>+M42</f>
        <v>23</v>
      </c>
      <c r="AM31" s="49" t="s">
        <v>15</v>
      </c>
      <c r="AN31" s="191">
        <f>+K42</f>
        <v>33</v>
      </c>
      <c r="AO31" s="96">
        <f>IF(AT32="","",SUM(AF31,AI31,AL31))</f>
        <v>51</v>
      </c>
      <c r="AP31" s="49" t="s">
        <v>15</v>
      </c>
      <c r="AQ31" s="97">
        <f>IF(AT32="","",SUM(AH31,AK31,AN31))</f>
        <v>64</v>
      </c>
      <c r="AR31" s="110">
        <f>IF(AT31="","",RANK(AS32,($AS$30,$AS$32,$AS$34),0))</f>
        <v>3</v>
      </c>
      <c r="AT31" s="34" t="s">
        <v>17</v>
      </c>
    </row>
    <row r="32" spans="1:46" ht="11.1" customHeight="1">
      <c r="C32" s="133"/>
      <c r="D32" s="136"/>
      <c r="E32" s="106">
        <f>IF(OR(E31="",E31=0),"",IF(E31&gt;G31,2,IF(E31&lt;G31,0,1)))</f>
        <v>0</v>
      </c>
      <c r="F32" s="40" t="s">
        <v>16</v>
      </c>
      <c r="G32" s="107">
        <f>IF(OR(G31="",G31=0),"",IF(G31&gt;E31,2,IF(G31&lt;E31,0,1)))</f>
        <v>2</v>
      </c>
      <c r="H32" s="106">
        <f>IF(OR(H31="",H31=0),"",IF(H31&gt;J31,2,IF(H31&lt;J31,0,1)))</f>
        <v>2</v>
      </c>
      <c r="I32" s="40" t="s">
        <v>16</v>
      </c>
      <c r="J32" s="107">
        <f>IF(OR(J31="",J31=0),"",IF(J31&gt;H31,2,IF(J31&lt;H31,0,1)))</f>
        <v>0</v>
      </c>
      <c r="K32" s="106">
        <f>IF(OR(K31="",K31=0),"",IF(K31&gt;M31,2,IF(K31&lt;M31,0,1)))</f>
        <v>0</v>
      </c>
      <c r="L32" s="40" t="s">
        <v>16</v>
      </c>
      <c r="M32" s="107">
        <f>IF(OR(M31="",M31=0),"",IF(M31&gt;K31,2,IF(M31&lt;K31,0,1)))</f>
        <v>2</v>
      </c>
      <c r="N32" s="103"/>
      <c r="O32" s="104"/>
      <c r="P32" s="105"/>
      <c r="Q32" s="106" t="str">
        <f>IF(OR(Q31="",Q31=0),"",IF(Q31&gt;S31,2,IF(Q31&lt;S31,0,1)))</f>
        <v/>
      </c>
      <c r="R32" s="40" t="s">
        <v>16</v>
      </c>
      <c r="S32" s="107" t="str">
        <f>IF(OR(S31="",S31=0),"",IF(S31&gt;Q31,2,IF(S31&lt;Q31,0,1)))</f>
        <v/>
      </c>
      <c r="T32" s="106">
        <f>IF(Y32="","",SUM(E32,H32,K32,N32,Q32))</f>
        <v>2</v>
      </c>
      <c r="U32" s="40" t="s">
        <v>16</v>
      </c>
      <c r="V32" s="107">
        <f>IF(Y32="","",SUM(G32,J32,M32,P32,S32))</f>
        <v>4</v>
      </c>
      <c r="W32" s="108"/>
      <c r="X32" s="309">
        <f>+(T32-V32)+T31/V31+T32</f>
        <v>1.0561797752808988</v>
      </c>
      <c r="Y32" s="99" t="s">
        <v>17</v>
      </c>
      <c r="AD32" s="194"/>
      <c r="AE32" s="195"/>
      <c r="AF32" s="106">
        <f>IF(OR(AF31="",AF31=0),"",IF(AF31&gt;AH31,2,IF(AF31&lt;AH31,0,1)))</f>
        <v>0</v>
      </c>
      <c r="AG32" s="40" t="s">
        <v>16</v>
      </c>
      <c r="AH32" s="107">
        <f>IF(OR(AH31="",AH31=0),"",IF(AH31&gt;AF31,2,IF(AH31&lt;AF31,0,1)))</f>
        <v>2</v>
      </c>
      <c r="AI32" s="196"/>
      <c r="AJ32" s="197"/>
      <c r="AK32" s="198"/>
      <c r="AL32" s="106">
        <f>IF(OR(AL31="",AL31=0),"",IF(AL31&gt;AN31,2,IF(AL31&lt;AN31,0,1)))</f>
        <v>0</v>
      </c>
      <c r="AM32" s="40" t="s">
        <v>16</v>
      </c>
      <c r="AN32" s="107">
        <f>IF(OR(AN31="",AN31=0),"",IF(AN31&gt;AL31,2,IF(AN31&lt;AL31,0,1)))</f>
        <v>2</v>
      </c>
      <c r="AO32" s="106">
        <f>IF(AT32="","",SUM(AF32,AI32,AL32))</f>
        <v>0</v>
      </c>
      <c r="AP32" s="40" t="s">
        <v>16</v>
      </c>
      <c r="AQ32" s="107">
        <f>IF(AT32="","",SUM(AH32,AK32,AN32))</f>
        <v>4</v>
      </c>
      <c r="AR32" s="199"/>
      <c r="AS32" s="109">
        <f>+(AO32-AQ32)+AO31/AQ31+AO32</f>
        <v>-3.203125</v>
      </c>
      <c r="AT32" s="34" t="s">
        <v>17</v>
      </c>
    </row>
    <row r="33" spans="1:46" ht="15.2" customHeight="1">
      <c r="A33" s="34">
        <v>15</v>
      </c>
      <c r="C33" s="89" t="str">
        <f>IF(Daten!K9="","",Daten!K9)</f>
        <v/>
      </c>
      <c r="D33" s="90" t="str">
        <f>IF(Daten!L9="","",Daten!L9)</f>
        <v/>
      </c>
      <c r="E33" s="94" t="str">
        <f>IF(S25="","",S25)</f>
        <v/>
      </c>
      <c r="F33" s="49" t="s">
        <v>15</v>
      </c>
      <c r="G33" s="95" t="str">
        <f>IF(Q25="","",Q25)</f>
        <v/>
      </c>
      <c r="H33" s="94" t="str">
        <f>IF(S27="","",S27)</f>
        <v/>
      </c>
      <c r="I33" s="49" t="s">
        <v>15</v>
      </c>
      <c r="J33" s="95" t="str">
        <f>IF(Q27="","",Q27)</f>
        <v/>
      </c>
      <c r="K33" s="94" t="str">
        <f>IF(S29="","",S29)</f>
        <v/>
      </c>
      <c r="L33" s="49" t="s">
        <v>15</v>
      </c>
      <c r="M33" s="95" t="str">
        <f>IF(Q29="","",Q29)</f>
        <v/>
      </c>
      <c r="N33" s="94" t="str">
        <f>IF(S31="","",S31)</f>
        <v/>
      </c>
      <c r="O33" s="49" t="s">
        <v>15</v>
      </c>
      <c r="P33" s="95" t="str">
        <f>IF(Q31="","",Q31)</f>
        <v/>
      </c>
      <c r="Q33" s="91"/>
      <c r="R33" s="92"/>
      <c r="S33" s="93"/>
      <c r="T33" s="298" t="str">
        <f>IF(Y34="","",SUM(E33,H33,K33,N33,Q33))</f>
        <v/>
      </c>
      <c r="U33" s="49" t="s">
        <v>15</v>
      </c>
      <c r="V33" s="300" t="str">
        <f>IF(Y34="","",SUM(G33,J33,M33,P33,S33))</f>
        <v/>
      </c>
      <c r="W33" s="110" t="str">
        <f>IF(Y33="","",RANK(X34,($X$26,$X$28,$X$30,$X$32,$X$34),0))</f>
        <v/>
      </c>
      <c r="X33" s="308" t="s">
        <v>17</v>
      </c>
      <c r="Y33" s="99"/>
      <c r="AB33" s="34">
        <v>5</v>
      </c>
      <c r="AC33" s="34" t="str">
        <f>IF(W33="","",IF($W$25=5,$D$25,IF($W$27=5,$D$27,IF($W$29=5,$D$29,IF($W$31=5,$D$31,IF($W$33=5,$D$33,0))))))</f>
        <v/>
      </c>
      <c r="AD33" s="190">
        <v>3</v>
      </c>
      <c r="AE33" s="191" t="str">
        <f>IF(AC31="","4. "&amp;D24,AC31)</f>
        <v>Berlin</v>
      </c>
      <c r="AF33" s="190">
        <f>+AN29</f>
        <v>26</v>
      </c>
      <c r="AG33" s="49" t="s">
        <v>15</v>
      </c>
      <c r="AH33" s="191">
        <f>+AL29</f>
        <v>28</v>
      </c>
      <c r="AI33" s="190">
        <f>+AN31</f>
        <v>33</v>
      </c>
      <c r="AJ33" s="49" t="s">
        <v>15</v>
      </c>
      <c r="AK33" s="191">
        <f>+AL31</f>
        <v>23</v>
      </c>
      <c r="AL33" s="192"/>
      <c r="AM33" s="179"/>
      <c r="AN33" s="193"/>
      <c r="AO33" s="96">
        <f>IF(AT34="","",SUM(AF33,AI33,AL33))</f>
        <v>59</v>
      </c>
      <c r="AP33" s="49" t="s">
        <v>15</v>
      </c>
      <c r="AQ33" s="97">
        <f>IF(AT34="","",SUM(AH33,AK33,AN33))</f>
        <v>51</v>
      </c>
      <c r="AR33" s="110">
        <f>IF(AT33="","",RANK(AS34,($AS$30,$AS$32,$AS$34),0))</f>
        <v>2</v>
      </c>
      <c r="AT33" s="34" t="s">
        <v>17</v>
      </c>
    </row>
    <row r="34" spans="1:46" ht="11.1" customHeight="1">
      <c r="C34" s="135"/>
      <c r="D34" s="136"/>
      <c r="E34" s="106" t="str">
        <f>IF(OR(E33="",E33=0),"",IF(E33&gt;G33,2,IF(E33&lt;G33,0,1)))</f>
        <v/>
      </c>
      <c r="F34" s="40" t="s">
        <v>16</v>
      </c>
      <c r="G34" s="107" t="str">
        <f>IF(OR(G33="",G33=0),"",IF(G33&gt;E33,2,IF(G33&lt;E33,0,1)))</f>
        <v/>
      </c>
      <c r="H34" s="106" t="str">
        <f>IF(OR(H33="",H33=0),"",IF(H33&gt;J33,2,IF(H33&lt;J33,0,1)))</f>
        <v/>
      </c>
      <c r="I34" s="40" t="s">
        <v>16</v>
      </c>
      <c r="J34" s="107" t="str">
        <f>IF(OR(J33="",J33=0),"",IF(J33&gt;H33,2,IF(J33&lt;H33,0,1)))</f>
        <v/>
      </c>
      <c r="K34" s="106" t="str">
        <f>IF(OR(K33="",K33=0),"",IF(K33&gt;M33,2,IF(K33&lt;M33,0,1)))</f>
        <v/>
      </c>
      <c r="L34" s="40" t="s">
        <v>16</v>
      </c>
      <c r="M34" s="107" t="str">
        <f>IF(OR(M33="",M33=0),"",IF(M33&gt;K33,2,IF(M33&lt;K33,0,1)))</f>
        <v/>
      </c>
      <c r="N34" s="106" t="str">
        <f>IF(OR(N33="",N33=0),"",IF(N33&gt;P33,2,IF(N33&lt;P33,0,1)))</f>
        <v/>
      </c>
      <c r="O34" s="40" t="s">
        <v>16</v>
      </c>
      <c r="P34" s="107" t="str">
        <f>IF(OR(P33="",P33=0),"",IF(P33&gt;N33,2,IF(P33&lt;N33,0,1)))</f>
        <v/>
      </c>
      <c r="Q34" s="103"/>
      <c r="R34" s="104"/>
      <c r="S34" s="105"/>
      <c r="T34" s="299" t="str">
        <f>IF(Y34="","",SUM(E34,H34,K34,N34,Q34))</f>
        <v/>
      </c>
      <c r="U34" s="40" t="s">
        <v>16</v>
      </c>
      <c r="V34" s="301" t="str">
        <f>IF(Y34="","",SUM(G34,J34,M34,P34,S34))</f>
        <v/>
      </c>
      <c r="W34" s="108"/>
      <c r="X34" s="109"/>
      <c r="Y34" s="99"/>
      <c r="AD34" s="194"/>
      <c r="AE34" s="195"/>
      <c r="AF34" s="106">
        <f>IF(OR(AF33="",AF33=0),"",IF(AF33&gt;AH33,2,IF(AF33&lt;AH33,0,1)))</f>
        <v>0</v>
      </c>
      <c r="AG34" s="40" t="s">
        <v>16</v>
      </c>
      <c r="AH34" s="107">
        <f>IF(OR(AH33="",AH33=0),"",IF(AH33&gt;AF33,2,IF(AH33&lt;AF33,0,1)))</f>
        <v>2</v>
      </c>
      <c r="AI34" s="106">
        <f>IF(OR(AI33="",AI33=0),"",IF(AI33&gt;AK33,2,IF(AI33&lt;AK33,0,1)))</f>
        <v>2</v>
      </c>
      <c r="AJ34" s="40" t="s">
        <v>16</v>
      </c>
      <c r="AK34" s="107">
        <f>IF(OR(AK33="",AK33=0),"",IF(AK33&gt;AI33,2,IF(AK33&lt;AI33,0,1)))</f>
        <v>0</v>
      </c>
      <c r="AL34" s="196"/>
      <c r="AM34" s="197"/>
      <c r="AN34" s="198"/>
      <c r="AO34" s="106">
        <f>IF(AT34="","",SUM(AF34,AI34,AL34))</f>
        <v>2</v>
      </c>
      <c r="AP34" s="40" t="s">
        <v>16</v>
      </c>
      <c r="AQ34" s="107">
        <f>IF(AT34="","",SUM(AH34,AK34,AN34))</f>
        <v>2</v>
      </c>
      <c r="AR34" s="199"/>
      <c r="AS34" s="109">
        <f>+(AO34-AQ34)+AO33/AQ33+AO34</f>
        <v>3.1568627450980395</v>
      </c>
      <c r="AT34" s="34" t="s">
        <v>17</v>
      </c>
    </row>
    <row r="35" spans="1:46" ht="10.15" hidden="1" customHeight="1" outlineLevel="1">
      <c r="C35" s="137"/>
      <c r="D35" s="113"/>
      <c r="E35" s="114"/>
      <c r="F35" s="49"/>
      <c r="G35" s="115"/>
      <c r="H35" s="114"/>
      <c r="I35" s="49"/>
      <c r="J35" s="115"/>
      <c r="K35" s="114"/>
      <c r="L35" s="49"/>
      <c r="M35" s="115"/>
      <c r="N35" s="114"/>
      <c r="O35" s="49"/>
      <c r="P35" s="115"/>
      <c r="Q35" s="116"/>
      <c r="R35" s="116"/>
      <c r="S35" s="116"/>
      <c r="T35" s="114"/>
      <c r="U35" s="49"/>
      <c r="V35" s="115"/>
      <c r="W35" s="117"/>
      <c r="X35" s="109"/>
      <c r="Y35" s="99" t="s">
        <v>17</v>
      </c>
      <c r="AT35" s="34" t="s">
        <v>17</v>
      </c>
    </row>
    <row r="36" spans="1:46" ht="10.15" hidden="1" customHeight="1" outlineLevel="1">
      <c r="C36" s="118" t="s">
        <v>18</v>
      </c>
      <c r="D36" s="119" t="str">
        <f>+D25</f>
        <v>Schwaben</v>
      </c>
      <c r="E36" s="120"/>
      <c r="F36" s="121"/>
      <c r="G36" s="122"/>
      <c r="H36" s="123"/>
      <c r="I36" s="124" t="s">
        <v>15</v>
      </c>
      <c r="J36" s="125"/>
      <c r="K36" s="123"/>
      <c r="L36" s="124" t="s">
        <v>15</v>
      </c>
      <c r="M36" s="125"/>
      <c r="N36" s="123"/>
      <c r="O36" s="124" t="s">
        <v>15</v>
      </c>
      <c r="P36" s="125"/>
      <c r="Q36" s="126"/>
      <c r="R36" s="124" t="s">
        <v>15</v>
      </c>
      <c r="S36" s="127"/>
      <c r="T36" s="37"/>
      <c r="U36" s="38"/>
      <c r="V36" s="42"/>
      <c r="W36" s="41"/>
      <c r="X36" s="109"/>
      <c r="Y36" s="99"/>
    </row>
    <row r="37" spans="1:46" ht="10.15" hidden="1" customHeight="1" outlineLevel="1">
      <c r="C37" s="128"/>
      <c r="D37" s="119" t="str">
        <f>+D27</f>
        <v>Berlin</v>
      </c>
      <c r="E37" s="123" t="str">
        <f>IF(J36="","",J36)</f>
        <v/>
      </c>
      <c r="F37" s="124" t="s">
        <v>15</v>
      </c>
      <c r="G37" s="125" t="str">
        <f>IF(H36="","",H36)</f>
        <v/>
      </c>
      <c r="H37" s="120"/>
      <c r="I37" s="121"/>
      <c r="J37" s="122"/>
      <c r="K37" s="123"/>
      <c r="L37" s="124" t="s">
        <v>15</v>
      </c>
      <c r="M37" s="125"/>
      <c r="N37" s="123"/>
      <c r="O37" s="124" t="s">
        <v>15</v>
      </c>
      <c r="P37" s="125"/>
      <c r="Q37" s="126"/>
      <c r="R37" s="124" t="s">
        <v>15</v>
      </c>
      <c r="S37" s="127"/>
      <c r="T37" s="37"/>
      <c r="U37" s="38"/>
      <c r="V37" s="42"/>
      <c r="W37" s="41"/>
      <c r="X37" s="109"/>
      <c r="Y37" s="99"/>
    </row>
    <row r="38" spans="1:46" ht="10.15" hidden="1" customHeight="1" outlineLevel="1">
      <c r="C38" s="128"/>
      <c r="D38" s="119" t="str">
        <f>+D29</f>
        <v>Sachsen</v>
      </c>
      <c r="E38" s="123" t="str">
        <f>IF(M36="","",M36)</f>
        <v/>
      </c>
      <c r="F38" s="124" t="s">
        <v>15</v>
      </c>
      <c r="G38" s="125" t="str">
        <f>IF(K36="","",K36)</f>
        <v/>
      </c>
      <c r="H38" s="123" t="str">
        <f>IF(M37="","",M37)</f>
        <v/>
      </c>
      <c r="I38" s="124" t="s">
        <v>15</v>
      </c>
      <c r="J38" s="125" t="str">
        <f>IF(K37="","",K37)</f>
        <v/>
      </c>
      <c r="K38" s="120"/>
      <c r="L38" s="121"/>
      <c r="M38" s="122"/>
      <c r="N38" s="123"/>
      <c r="O38" s="124" t="s">
        <v>15</v>
      </c>
      <c r="P38" s="125"/>
      <c r="Q38" s="126"/>
      <c r="R38" s="124" t="s">
        <v>15</v>
      </c>
      <c r="S38" s="127"/>
      <c r="T38" s="37"/>
      <c r="U38" s="38"/>
      <c r="V38" s="42"/>
      <c r="W38" s="41"/>
      <c r="X38" s="109"/>
      <c r="Y38" s="99"/>
    </row>
    <row r="39" spans="1:46" ht="10.15" hidden="1" customHeight="1" outlineLevel="1">
      <c r="C39" s="128"/>
      <c r="D39" s="119" t="str">
        <f>+D31</f>
        <v>Rheinland</v>
      </c>
      <c r="E39" s="123" t="str">
        <f>IF(P36="","",P36)</f>
        <v/>
      </c>
      <c r="F39" s="124" t="s">
        <v>15</v>
      </c>
      <c r="G39" s="125" t="str">
        <f>IF(N36="","",N36)</f>
        <v/>
      </c>
      <c r="H39" s="123" t="str">
        <f>IF(P37="","",P37)</f>
        <v/>
      </c>
      <c r="I39" s="124" t="s">
        <v>15</v>
      </c>
      <c r="J39" s="125" t="str">
        <f>IF(N37="","",N37)</f>
        <v/>
      </c>
      <c r="K39" s="123" t="str">
        <f>IF(P38="","",P38)</f>
        <v/>
      </c>
      <c r="L39" s="124" t="s">
        <v>15</v>
      </c>
      <c r="M39" s="125" t="str">
        <f>IF(N38="","",N38)</f>
        <v/>
      </c>
      <c r="N39" s="120"/>
      <c r="O39" s="121"/>
      <c r="P39" s="122"/>
      <c r="Q39" s="138"/>
      <c r="R39" s="124" t="s">
        <v>15</v>
      </c>
      <c r="S39" s="127"/>
      <c r="T39" s="37"/>
      <c r="U39" s="38"/>
      <c r="V39" s="42"/>
      <c r="W39" s="41"/>
      <c r="X39" s="109"/>
      <c r="Y39" s="99"/>
    </row>
    <row r="40" spans="1:46" ht="10.15" hidden="1" customHeight="1" outlineLevel="1">
      <c r="D40" s="119" t="str">
        <f>+D33</f>
        <v/>
      </c>
      <c r="E40" s="123" t="str">
        <f>IF(S36="","",S36)</f>
        <v/>
      </c>
      <c r="F40" s="124" t="s">
        <v>15</v>
      </c>
      <c r="G40" s="125" t="str">
        <f>IF(Q36="","",Q36)</f>
        <v/>
      </c>
      <c r="H40" s="123" t="str">
        <f>IF(S37="","",S37)</f>
        <v/>
      </c>
      <c r="I40" s="124" t="s">
        <v>15</v>
      </c>
      <c r="J40" s="125" t="str">
        <f>IF(Q37="","",Q37)</f>
        <v/>
      </c>
      <c r="K40" s="123" t="str">
        <f>IF(S38="","",S38)</f>
        <v/>
      </c>
      <c r="L40" s="124" t="s">
        <v>15</v>
      </c>
      <c r="M40" s="125" t="str">
        <f>IF(Q38="","",Q38)</f>
        <v/>
      </c>
      <c r="N40" s="139" t="str">
        <f>IF(S39="","",S39)</f>
        <v/>
      </c>
      <c r="O40" s="124" t="s">
        <v>15</v>
      </c>
      <c r="P40" s="125" t="str">
        <f>IF(Q39="","",Q39)</f>
        <v/>
      </c>
      <c r="Q40" s="120"/>
      <c r="R40" s="129"/>
      <c r="S40" s="122"/>
    </row>
    <row r="41" spans="1:46" ht="18" customHeight="1" collapsed="1">
      <c r="B41" s="99"/>
      <c r="C41" s="175" t="s">
        <v>209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</row>
    <row r="42" spans="1:46" ht="17.25" customHeight="1">
      <c r="A42" s="39" t="s">
        <v>182</v>
      </c>
      <c r="B42" s="34" t="s">
        <v>28</v>
      </c>
      <c r="C42" s="140" t="str">
        <f>"5."&amp;+$D$5&amp;"  4."&amp;+$D$24</f>
        <v>5.Gruppe C  4.Gruppe D</v>
      </c>
      <c r="D42" s="141" t="str">
        <f ca="1">"  "&amp;IF(Y32="","",IF(ISERROR(VLOOKUP($A$4&amp;TEXT($A42,"000"),Sonntag!$B$23:$S$161,8,FALSE)),"",VLOOKUP($A$4&amp;TEXT($A42,"000"),Sonntag!$B$23:$S$161,8,FALSE)))&amp;" : "&amp;IF(Y32="","",IF(ISERROR(VLOOKUP($A$4&amp;TEXT($A42,"000"),Sonntag!$B$23:$S$161,11,FALSE)),"",VLOOKUP($A$4&amp;TEXT($A42,"000"),Sonntag!$B$23:$S$161,11,FALSE)))</f>
        <v xml:space="preserve">  Berlin : Pfalz</v>
      </c>
      <c r="E42" s="142"/>
      <c r="F42" s="142"/>
      <c r="G42" s="142"/>
      <c r="H42" s="142"/>
      <c r="I42" s="143"/>
      <c r="J42" s="144"/>
      <c r="K42" s="145">
        <f>IF(N42="","",IF(ISERROR(VLOOKUP($A$4&amp;TEXT($A$42,"000"),Sonntag!$B$23:$S$93,16,FALSE)),"",VLOOKUP($A$4&amp;TEXT($A42,"000"),Sonntag!$B$23:$S$93,16,FALSE)))</f>
        <v>33</v>
      </c>
      <c r="L42" s="48" t="s">
        <v>15</v>
      </c>
      <c r="M42" s="146">
        <f>IF(N42="","",IF(ISERROR(VLOOKUP($A$4&amp;TEXT($A$42,"000"),Sonntag!$B$23:$S$93,18,FALSE)),"",VLOOKUP($A$4&amp;TEXT($A42,"000"),Sonntag!$B$23:$S$93,18,FALSE)))</f>
        <v>23</v>
      </c>
      <c r="N42" s="147" t="s">
        <v>17</v>
      </c>
      <c r="O42" s="72"/>
      <c r="P42" s="53"/>
      <c r="AC42" s="148">
        <f>IF(K42="","",IF(K42&gt;M42,2,IF(K42&lt;M42,0,1)))</f>
        <v>2</v>
      </c>
    </row>
    <row r="43" spans="1:46" ht="4.7" customHeight="1">
      <c r="A43" s="39"/>
      <c r="B43" s="149"/>
      <c r="C43" s="36"/>
      <c r="D43" s="53"/>
      <c r="E43" s="150"/>
      <c r="F43" s="151"/>
      <c r="G43" s="150"/>
      <c r="H43" s="150"/>
      <c r="I43" s="150"/>
      <c r="J43" s="150"/>
      <c r="K43" s="186"/>
      <c r="M43" s="46"/>
      <c r="N43" s="152"/>
    </row>
    <row r="44" spans="1:46" ht="17.25" customHeight="1">
      <c r="A44" s="39" t="s">
        <v>183</v>
      </c>
      <c r="B44" s="34" t="s">
        <v>29</v>
      </c>
      <c r="C44" s="140" t="str">
        <f>"4."&amp;+$D$5&amp;"  5."&amp;+$D$5</f>
        <v>4.Gruppe C  5.Gruppe C</v>
      </c>
      <c r="D44" s="141" t="str">
        <f ca="1">"  "&amp;IF(Y32="","",IF(ISERROR(VLOOKUP($A$4&amp;TEXT($A44,"000"),Sonntag!$B$23:$S$161,8,FALSE)),"",VLOOKUP($A$4&amp;TEXT($A44,"000"),Sonntag!$B$23:$S$161,8,FALSE)))&amp;" : "&amp;IF(Y32="","",IF(ISERROR(VLOOKUP($A$4&amp;TEXT($A44,"000"),Sonntag!$B$23:$S$161,11,FALSE)),"",VLOOKUP($A$4&amp;TEXT($A44,"000"),Sonntag!$B$23:$S$161,11,FALSE)))</f>
        <v xml:space="preserve">  Westfalen : Pfalz</v>
      </c>
      <c r="E44" s="142"/>
      <c r="F44" s="142"/>
      <c r="G44" s="142"/>
      <c r="H44" s="142"/>
      <c r="I44" s="143"/>
      <c r="J44" s="144"/>
      <c r="K44" s="145">
        <f>IF(N44="","",IF(ISERROR(VLOOKUP($A$4&amp;TEXT($A$42,"000"),Sonntag!$B$23:$S$93,16,FALSE)),"",VLOOKUP($A$4&amp;TEXT($A44,"000"),Sonntag!$B$23:$S$93,16,FALSE)))</f>
        <v>31</v>
      </c>
      <c r="L44" s="48" t="s">
        <v>15</v>
      </c>
      <c r="M44" s="146">
        <f>IF(N44="","",IF(ISERROR(VLOOKUP($A$4&amp;TEXT($A$42,"000"),Sonntag!$B$23:$S$93,18,FALSE)),"",VLOOKUP($A$4&amp;TEXT($A44,"000"),Sonntag!$B$23:$S$93,18,FALSE)))</f>
        <v>28</v>
      </c>
      <c r="N44" s="147" t="s">
        <v>17</v>
      </c>
      <c r="O44" s="72"/>
      <c r="AC44" s="148">
        <f>IF(K44="","",IF(K44&gt;M44,2,IF(K44&lt;M44,0,1)))</f>
        <v>2</v>
      </c>
    </row>
    <row r="45" spans="1:46" ht="4.7" customHeight="1">
      <c r="A45" s="39"/>
      <c r="C45" s="187"/>
      <c r="D45" s="53"/>
      <c r="E45" s="150"/>
      <c r="F45" s="150"/>
      <c r="G45" s="150"/>
      <c r="H45" s="150"/>
      <c r="I45" s="151"/>
      <c r="J45" s="150"/>
      <c r="K45" s="181"/>
      <c r="L45" s="59"/>
      <c r="M45" s="182"/>
      <c r="N45" s="147"/>
      <c r="O45" s="72"/>
      <c r="AC45" s="148"/>
    </row>
    <row r="46" spans="1:46" ht="17.25" customHeight="1">
      <c r="A46" s="39" t="s">
        <v>184</v>
      </c>
      <c r="C46" s="140" t="str">
        <f>"4."&amp;+$D$24&amp;"  4."&amp;+$D$5</f>
        <v>4.Gruppe D  4.Gruppe C</v>
      </c>
      <c r="D46" s="141" t="str">
        <f ca="1">"  "&amp;IF(Y32="","",IF(ISERROR(VLOOKUP($A$4&amp;TEXT($A46,"000"),Sonntag!$B$23:$S$161,8,FALSE)),"",VLOOKUP($A$4&amp;TEXT($A46,"000"),Sonntag!$B$23:$S$161,8,FALSE)))&amp;" : "&amp;IF(Y32="","",IF(ISERROR(VLOOKUP($A$4&amp;TEXT($A46,"000"),Sonntag!$B$23:$S$161,11,FALSE)),"",VLOOKUP($A$4&amp;TEXT($A46,"000"),Sonntag!$B$23:$S$161,11,FALSE)))</f>
        <v xml:space="preserve">  Westfalen : Berlin</v>
      </c>
      <c r="E46" s="142"/>
      <c r="F46" s="142"/>
      <c r="G46" s="142"/>
      <c r="H46" s="142"/>
      <c r="I46" s="143"/>
      <c r="J46" s="144"/>
      <c r="K46" s="145">
        <f>IF(N46="","",IF(ISERROR(VLOOKUP($A$4&amp;TEXT($A$42,"000"),Sonntag!$B$23:$S$93,16,FALSE)),"",VLOOKUP($A$4&amp;TEXT($A46,"000"),Sonntag!$B$23:$S$93,16,FALSE)))</f>
        <v>28</v>
      </c>
      <c r="L46" s="48" t="s">
        <v>15</v>
      </c>
      <c r="M46" s="146">
        <f>IF(N46="","",IF(ISERROR(VLOOKUP($A$4&amp;TEXT($A$42,"000"),Sonntag!$B$23:$S$93,18,FALSE)),"",VLOOKUP($A$4&amp;TEXT($A46,"000"),Sonntag!$B$23:$S$93,18,FALSE)))</f>
        <v>26</v>
      </c>
      <c r="N46" s="147" t="s">
        <v>17</v>
      </c>
      <c r="O46" s="72"/>
      <c r="AC46" s="148"/>
    </row>
    <row r="47" spans="1:46" ht="18" customHeight="1">
      <c r="A47" s="39"/>
      <c r="B47" s="99"/>
      <c r="C47" s="175" t="s">
        <v>20</v>
      </c>
      <c r="D47" s="153"/>
      <c r="E47" s="150"/>
      <c r="F47" s="151"/>
      <c r="G47" s="150"/>
      <c r="H47" s="150"/>
      <c r="I47" s="150"/>
      <c r="J47" s="150"/>
      <c r="K47" s="186"/>
      <c r="M47" s="46"/>
      <c r="N47" s="152"/>
      <c r="Q47" s="41"/>
      <c r="R47" s="41"/>
      <c r="S47" s="41"/>
      <c r="T47" s="41"/>
      <c r="U47" s="41"/>
      <c r="V47" s="41"/>
      <c r="W47" s="41"/>
    </row>
    <row r="48" spans="1:46" ht="17.25" customHeight="1">
      <c r="A48" s="39" t="s">
        <v>43</v>
      </c>
      <c r="B48" s="34" t="s">
        <v>21</v>
      </c>
      <c r="C48" s="140" t="str">
        <f>"2."&amp;+$D$5&amp;"  3."&amp;+$D$24</f>
        <v>2.Gruppe C  3.Gruppe D</v>
      </c>
      <c r="D48" s="141" t="str">
        <f ca="1">"  "&amp;IF(Y31="","",IF(ISERROR(VLOOKUP($A$4&amp;TEXT($A48,"000"),Sonntag!$B$23:$S$161,8,FALSE)),"",VLOOKUP($A$4&amp;TEXT($A48,"000"),Sonntag!$B$23:$S$161,8,FALSE)))&amp;" : "&amp;IF(Y31="","",IF(ISERROR(VLOOKUP($A$4&amp;TEXT($A48,"000"),Sonntag!$B$23:$S$161,11,FALSE)),"",VLOOKUP($A$4&amp;TEXT($A48,"000"),Sonntag!$B$23:$S$161,11,FALSE)))</f>
        <v xml:space="preserve">  Baden : Rheinland</v>
      </c>
      <c r="E48" s="142"/>
      <c r="F48" s="142"/>
      <c r="G48" s="142"/>
      <c r="H48" s="142"/>
      <c r="I48" s="143"/>
      <c r="J48" s="144"/>
      <c r="K48" s="145">
        <f>IF(N48="","",IF(ISERROR(VLOOKUP($A$4&amp;TEXT($A$42,"000"),Sonntag!$B$23:$S$93,16,FALSE)),"",VLOOKUP($A$4&amp;TEXT($A48,"000"),Sonntag!$B$23:$S$93,16,FALSE)))</f>
        <v>34</v>
      </c>
      <c r="L48" s="48" t="s">
        <v>15</v>
      </c>
      <c r="M48" s="146">
        <f>IF(N48="","",IF(ISERROR(VLOOKUP($A$4&amp;TEXT($A$42,"000"),Sonntag!$B$23:$S$93,18,FALSE)),"",VLOOKUP($A$4&amp;TEXT($A48,"000"),Sonntag!$B$23:$S$93,18,FALSE)))</f>
        <v>29</v>
      </c>
      <c r="N48" s="152" t="s">
        <v>17</v>
      </c>
      <c r="P48" s="67" t="s">
        <v>19</v>
      </c>
      <c r="Q48" s="154"/>
      <c r="R48" s="154"/>
      <c r="S48" s="154"/>
      <c r="T48" s="154"/>
      <c r="U48" s="154"/>
      <c r="V48" s="154"/>
      <c r="W48" s="154"/>
      <c r="AC48" s="148">
        <f>IF(K48="","",IF(K48&gt;M48,2,IF(K48&lt;M48,0,1)))</f>
        <v>2</v>
      </c>
    </row>
    <row r="49" spans="1:29" ht="4.7" customHeight="1">
      <c r="A49" s="39"/>
      <c r="B49" s="99"/>
      <c r="C49" s="51"/>
      <c r="D49" s="153"/>
      <c r="E49" s="150"/>
      <c r="F49" s="150"/>
      <c r="G49" s="150"/>
      <c r="H49" s="150"/>
      <c r="I49" s="151"/>
      <c r="J49" s="150"/>
      <c r="K49" s="162"/>
      <c r="L49" s="163"/>
      <c r="M49" s="164"/>
      <c r="N49" s="152"/>
      <c r="Q49" s="41"/>
      <c r="R49" s="41"/>
      <c r="S49" s="41"/>
      <c r="T49" s="41"/>
      <c r="U49" s="41"/>
      <c r="V49" s="41"/>
      <c r="W49" s="41"/>
    </row>
    <row r="50" spans="1:29" ht="17.25" customHeight="1">
      <c r="A50" s="39" t="s">
        <v>44</v>
      </c>
      <c r="B50" s="34" t="s">
        <v>22</v>
      </c>
      <c r="C50" s="140" t="str">
        <f>"2."&amp;+$D$24&amp;"  3."&amp;+$D$5</f>
        <v>2.Gruppe D  3.Gruppe C</v>
      </c>
      <c r="D50" s="141" t="str">
        <f ca="1">"  "&amp;IF(Y31="","",IF(ISERROR(VLOOKUP($A$4&amp;TEXT($A50,"000"),Sonntag!$B$23:$S$161,8,FALSE)),"",VLOOKUP($A$4&amp;TEXT($A50,"000"),Sonntag!$B$23:$S$161,8,FALSE)))&amp;" : "&amp;IF(Y31="","",IF(ISERROR(VLOOKUP($A$4&amp;TEXT($A50,"000"),Sonntag!$B$23:$S$161,11,FALSE)),"",VLOOKUP($A$4&amp;TEXT($A50,"000"),Sonntag!$B$23:$S$161,11,FALSE)))</f>
        <v xml:space="preserve">  Schwaben : Bremen</v>
      </c>
      <c r="E50" s="142"/>
      <c r="F50" s="142"/>
      <c r="G50" s="142"/>
      <c r="H50" s="142"/>
      <c r="I50" s="143"/>
      <c r="J50" s="144"/>
      <c r="K50" s="145">
        <f>IF(N50="","",IF(ISERROR(VLOOKUP($A$4&amp;TEXT($A$42,"000"),Sonntag!$B$23:$S$93,16,FALSE)),"",VLOOKUP($A$4&amp;TEXT($A50,"000"),Sonntag!$B$23:$S$93,16,FALSE)))</f>
        <v>26</v>
      </c>
      <c r="L50" s="48" t="s">
        <v>15</v>
      </c>
      <c r="M50" s="146">
        <f>IF(N50="","",IF(ISERROR(VLOOKUP($A$4&amp;TEXT($A$42,"000"),Sonntag!$B$23:$S$93,18,FALSE)),"",VLOOKUP($A$4&amp;TEXT($A50,"000"),Sonntag!$B$23:$S$93,18,FALSE)))</f>
        <v>32</v>
      </c>
      <c r="N50" s="152" t="s">
        <v>17</v>
      </c>
      <c r="P50" s="178">
        <v>1</v>
      </c>
      <c r="Q50" s="305" t="str">
        <f ca="1">"  "&amp;IF(K63&gt;M63,IF($Y50="","",IF(ISERROR(VLOOKUP($A$4&amp;TEXT($A63,"000"),Sonntag!$B$23:$T$139,8,FALSE)),"",VLOOKUP($A$4&amp;TEXT($A63,"000"),Sonntag!$B$23:$T$139,8,FALSE))),IF($Y50="","",IF(ISERROR(VLOOKUP($A$4&amp;TEXT($A63,"000"),Sonntag!$B$23:$T$139,11,FALSE)),"",VLOOKUP($A$4&amp;TEXT($A63,"000"),Sonntag!$B$23:$T$139,11,FALSE))))</f>
        <v xml:space="preserve">  Niedersachsen</v>
      </c>
      <c r="R50" s="155"/>
      <c r="S50" s="155"/>
      <c r="T50" s="155"/>
      <c r="U50" s="155"/>
      <c r="V50" s="155"/>
      <c r="W50" s="156"/>
      <c r="Y50" s="34" t="s">
        <v>17</v>
      </c>
      <c r="AC50" s="148">
        <f>IF(K50="","",IF(K50&gt;M50,2,IF(K50&lt;M50,0,1)))</f>
        <v>0</v>
      </c>
    </row>
    <row r="51" spans="1:29" ht="18" customHeight="1">
      <c r="B51" s="99"/>
      <c r="C51" s="175" t="s">
        <v>210</v>
      </c>
      <c r="D51" s="153"/>
      <c r="E51" s="150"/>
      <c r="F51" s="150"/>
      <c r="G51" s="150"/>
      <c r="H51" s="150"/>
      <c r="I51" s="151"/>
      <c r="J51" s="150"/>
      <c r="K51" s="186"/>
      <c r="M51" s="46"/>
      <c r="N51" s="152"/>
      <c r="P51" s="157">
        <v>2</v>
      </c>
      <c r="Q51" s="53" t="str">
        <f ca="1">"  "&amp;IF(K63&lt;M63,IF($Y51="","",IF(ISERROR(VLOOKUP($A$4&amp;TEXT($A63,"000"),Sonntag!$B$23:$T$139,8,FALSE)),"",VLOOKUP($A$4&amp;TEXT($A63,"000"),Sonntag!$B$23:$T$139,8,FALSE))),IF($Y51="","",IF(ISERROR(VLOOKUP($A$4&amp;TEXT($A63,"000"),Sonntag!$B$23:$T$139,11,FALSE)),"",VLOOKUP($A$4&amp;TEXT($A63,"000"),Sonntag!$B$23:$T$139,11,FALSE))))</f>
        <v xml:space="preserve">  Baden</v>
      </c>
      <c r="R51" s="53"/>
      <c r="S51" s="53"/>
      <c r="T51" s="53"/>
      <c r="U51" s="53"/>
      <c r="V51" s="53"/>
      <c r="W51" s="158"/>
      <c r="Y51" s="34" t="s">
        <v>17</v>
      </c>
      <c r="AC51" s="159"/>
    </row>
    <row r="52" spans="1:29" ht="17.25" customHeight="1">
      <c r="A52" s="39" t="s">
        <v>299</v>
      </c>
      <c r="C52" s="200" t="str">
        <f>"Ver."&amp;+$B$42&amp;"  Ver."&amp;+$B$44&amp;" Pl. 7-8"</f>
        <v>Ver.a  Ver.b Pl. 7-8</v>
      </c>
      <c r="D52" s="180" t="str">
        <f>"  "&amp;IF(N52="","",IF(ISERROR(VLOOKUP($A$4&amp;TEXT($A52,"000"),Sonntag!$B$23:$S$161,8,FALSE)),"",VLOOKUP($A$4&amp;TEXT($A52,"000"),Sonntag!$B$23:$S$161,8,FALSE)))&amp;" : "&amp;IF(N52="","",IF(ISERROR(VLOOKUP($A$4&amp;TEXT($A52,"000"),Sonntag!$B$23:$S$161,11,FALSE)),"",VLOOKUP($A$4&amp;TEXT($A52,"000"),Sonntag!$B$23:$S$161,11,FALSE)))</f>
        <v xml:space="preserve">   : </v>
      </c>
      <c r="E52" s="160"/>
      <c r="F52" s="142"/>
      <c r="G52" s="142"/>
      <c r="H52" s="142"/>
      <c r="I52" s="142"/>
      <c r="J52" s="144"/>
      <c r="K52" s="145" t="str">
        <f>IF(N52="","",IF(ISERROR(VLOOKUP($A$4&amp;TEXT($A$42,"000"),Sonntag!$B$23:$S$93,16,FALSE)),"",VLOOKUP($A$4&amp;TEXT($A52,"000"),Sonntag!$B$23:$S$93,16,FALSE)))</f>
        <v/>
      </c>
      <c r="L52" s="48" t="s">
        <v>15</v>
      </c>
      <c r="M52" s="146" t="str">
        <f>IF(N52="","",IF(ISERROR(VLOOKUP($A$4&amp;TEXT($A$42,"000"),Sonntag!$B$23:$S$93,18,FALSE)),"",VLOOKUP($A$4&amp;TEXT($A52,"000"),Sonntag!$B$23:$S$93,18,FALSE)))</f>
        <v/>
      </c>
      <c r="N52" s="152"/>
      <c r="P52" s="157">
        <v>3</v>
      </c>
      <c r="Q52" s="53" t="str">
        <f ca="1">"  "&amp;IF(K60&gt;M60,IF($Y52="","",IF(ISERROR(VLOOKUP($A$4&amp;TEXT($A60,"000"),Sonntag!$B$23:$T$139,8,FALSE)),"",VLOOKUP($A$4&amp;TEXT($A60,"000"),Sonntag!$B$23:$T$139,8,FALSE))),IF($Y52="","",IF(ISERROR(VLOOKUP($A$4&amp;TEXT($A60,"000"),Sonntag!$B$23:$T$139,11,FALSE)),"",VLOOKUP($A$4&amp;TEXT($A60,"000"),Sonntag!$B$23:$T$139,11,FALSE))))</f>
        <v xml:space="preserve">  Sachsen</v>
      </c>
      <c r="R52" s="53"/>
      <c r="S52" s="53"/>
      <c r="T52" s="53"/>
      <c r="U52" s="53"/>
      <c r="V52" s="53"/>
      <c r="W52" s="158"/>
      <c r="Y52" s="34" t="s">
        <v>17</v>
      </c>
      <c r="AC52" s="148"/>
    </row>
    <row r="53" spans="1:29" ht="4.7" customHeight="1">
      <c r="C53" s="159"/>
      <c r="D53" s="153"/>
      <c r="E53" s="153"/>
      <c r="F53" s="151"/>
      <c r="G53" s="150"/>
      <c r="H53" s="150"/>
      <c r="I53" s="150"/>
      <c r="J53" s="150"/>
      <c r="K53" s="162"/>
      <c r="L53" s="163"/>
      <c r="M53" s="164"/>
      <c r="N53" s="152"/>
      <c r="P53" s="157"/>
      <c r="Q53" s="161"/>
      <c r="R53" s="53"/>
      <c r="S53" s="53"/>
      <c r="T53" s="53"/>
      <c r="U53" s="53"/>
      <c r="V53" s="53"/>
      <c r="W53" s="158"/>
      <c r="X53" s="159"/>
      <c r="AC53" s="148"/>
    </row>
    <row r="54" spans="1:29" ht="17.25" customHeight="1">
      <c r="A54" s="39" t="s">
        <v>240</v>
      </c>
      <c r="C54" s="140" t="str">
        <f>"Ver."&amp;+$B$48&amp;"  Ver."&amp;+$B$50&amp;" Pl. 5-6"</f>
        <v>Ver.c  Ver.d Pl. 5-6</v>
      </c>
      <c r="D54" s="141" t="str">
        <f ca="1">"  "&amp;IF(N48="","",IF(ISERROR(VLOOKUP($A$4&amp;TEXT($A54,"000"),Sonntag!$B$23:$S$161,8,FALSE)),"",VLOOKUP($A$4&amp;TEXT($A54,"000"),Sonntag!$B$23:$S$161,8,FALSE)))&amp;" : "&amp;IF(N50="","",IF(ISERROR(VLOOKUP($A$4&amp;TEXT($A54,"000"),Sonntag!$B$23:$S$161,11,FALSE)),"",VLOOKUP($A$4&amp;TEXT($A54,"000"),Sonntag!$B$23:$S$161,11,FALSE)))</f>
        <v xml:space="preserve">  Rheinland : Schwaben</v>
      </c>
      <c r="E54" s="160"/>
      <c r="F54" s="142"/>
      <c r="G54" s="142"/>
      <c r="H54" s="142"/>
      <c r="I54" s="143"/>
      <c r="J54" s="144"/>
      <c r="K54" s="145">
        <f>IF(N54="","",IF(ISERROR(VLOOKUP($A$4&amp;TEXT($A$42,"000"),Sonntag!$B$23:$S$93,16,FALSE)),"",VLOOKUP($A$4&amp;TEXT($A54,"000"),Sonntag!$B$23:$S$93,16,FALSE)))</f>
        <v>34</v>
      </c>
      <c r="L54" s="48" t="s">
        <v>15</v>
      </c>
      <c r="M54" s="146">
        <f>IF(N54="","",IF(ISERROR(VLOOKUP($A$4&amp;TEXT($A$42,"000"),Sonntag!$B$23:$S$93,18,FALSE)),"",VLOOKUP($A$4&amp;TEXT($A54,"000"),Sonntag!$B$23:$S$93,18,FALSE)))</f>
        <v>25</v>
      </c>
      <c r="N54" s="152" t="s">
        <v>17</v>
      </c>
      <c r="P54" s="157">
        <v>4</v>
      </c>
      <c r="Q54" s="53" t="str">
        <f ca="1">"  "&amp;IF(K60&lt;M60,IF($Y54="","",IF(ISERROR(VLOOKUP($A$4&amp;TEXT($A60,"000"),Sonntag!$B$23:$T$139,8,FALSE)),"",VLOOKUP($A$4&amp;TEXT($A60,"000"),Sonntag!$B$23:$T$139,8,FALSE))),IF($Y54="","",IF(ISERROR(VLOOKUP($A$4&amp;TEXT($A60,"000"),Sonntag!$B$23:$T$139,11,FALSE)),"",VLOOKUP($A$4&amp;TEXT($A60,"000"),Sonntag!$B$23:$T$139,11,FALSE))))</f>
        <v xml:space="preserve">  Bremen</v>
      </c>
      <c r="R54" s="53"/>
      <c r="S54" s="53"/>
      <c r="T54" s="53"/>
      <c r="U54" s="53"/>
      <c r="V54" s="53"/>
      <c r="W54" s="158"/>
      <c r="X54" s="159"/>
      <c r="Y54" s="34" t="s">
        <v>17</v>
      </c>
      <c r="AC54" s="148"/>
    </row>
    <row r="55" spans="1:29" ht="18" customHeight="1">
      <c r="C55" s="175" t="s">
        <v>23</v>
      </c>
      <c r="D55" s="161"/>
      <c r="E55" s="159"/>
      <c r="F55" s="159"/>
      <c r="G55" s="159"/>
      <c r="H55" s="159"/>
      <c r="I55" s="159"/>
      <c r="J55" s="159"/>
      <c r="K55" s="162"/>
      <c r="L55" s="163"/>
      <c r="M55" s="164"/>
      <c r="N55" s="152"/>
      <c r="P55" s="157">
        <v>5</v>
      </c>
      <c r="Q55" s="53" t="str">
        <f ca="1">"  "&amp;IF(K54&gt;M54,IF($Y55="","",IF(ISERROR(VLOOKUP($A$4&amp;TEXT($A54,"000"),Sonntag!$B$23:$T$139,8,FALSE)),"",VLOOKUP($A$4&amp;TEXT($A54,"000"),Sonntag!$B$23:$T$139,8,FALSE))),IF($Y55="","",IF(ISERROR(VLOOKUP($A$4&amp;TEXT($A54,"000"),Sonntag!$B$23:$T$139,11,FALSE)),"",VLOOKUP($A$4&amp;TEXT($A54,"000"),Sonntag!$B$23:$T$139,11,FALSE))))</f>
        <v xml:space="preserve">  Rheinland</v>
      </c>
      <c r="R55" s="53"/>
      <c r="S55" s="53"/>
      <c r="T55" s="53"/>
      <c r="U55" s="53"/>
      <c r="V55" s="53"/>
      <c r="W55" s="158"/>
      <c r="Y55" s="34" t="s">
        <v>17</v>
      </c>
      <c r="AC55" s="148"/>
    </row>
    <row r="56" spans="1:29" ht="17.25" customHeight="1">
      <c r="A56" s="39" t="s">
        <v>143</v>
      </c>
      <c r="B56" s="34" t="s">
        <v>24</v>
      </c>
      <c r="C56" s="140" t="str">
        <f>"1."&amp;+$D$5&amp;"  Sieger "&amp;B50</f>
        <v>1.Gruppe C  Sieger d</v>
      </c>
      <c r="D56" s="141" t="str">
        <f ca="1">"  "&amp;IF(Y31="","",IF(ISERROR(VLOOKUP($A$4&amp;TEXT($A56,"000"),Sonntag!$B$23:$S$161,8,FALSE)),"",VLOOKUP($A$4&amp;TEXT($A56,"000"),Sonntag!$B$23:$S$161,8,FALSE)))&amp;" : "&amp;IF(N50="","",IF(ISERROR(VLOOKUP($A$4&amp;TEXT($A56,"000"),Sonntag!$B$23:$S$161,11,FALSE)),"",VLOOKUP($A$4&amp;TEXT($A56,"000"),Sonntag!$B$23:$S$161,11,FALSE)))</f>
        <v xml:space="preserve">  Niedersachsen : Bremen</v>
      </c>
      <c r="E56" s="155"/>
      <c r="F56" s="165"/>
      <c r="G56" s="165"/>
      <c r="H56" s="165"/>
      <c r="I56" s="166"/>
      <c r="J56" s="83"/>
      <c r="K56" s="145">
        <f>IF(N56="","",IF(ISERROR(VLOOKUP($A$4&amp;TEXT($A$42,"000"),Sonntag!$B$23:$S$93,16,FALSE)),"",VLOOKUP($A$4&amp;TEXT($A56,"000"),Sonntag!$B$23:$S$93,16,FALSE)))</f>
        <v>36</v>
      </c>
      <c r="L56" s="48" t="s">
        <v>15</v>
      </c>
      <c r="M56" s="146">
        <f>IF(N56="","",IF(ISERROR(VLOOKUP($A$4&amp;TEXT($A$42,"000"),Sonntag!$B$23:$S$93,18,FALSE)),"",VLOOKUP($A$4&amp;TEXT($A56,"000"),Sonntag!$B$23:$S$93,18,FALSE)))</f>
        <v>25</v>
      </c>
      <c r="N56" s="152" t="s">
        <v>17</v>
      </c>
      <c r="P56" s="157">
        <v>6</v>
      </c>
      <c r="Q56" s="53" t="str">
        <f ca="1">"  "&amp;IF(K54&lt;M54,IF($Y56="","",IF(ISERROR(VLOOKUP($A$4&amp;TEXT($A54,"000"),Sonntag!$B$23:$T$139,8,FALSE)),"",VLOOKUP($A$4&amp;TEXT($A54,"000"),Sonntag!$B$23:$T$139,8,FALSE))),IF($Y56="","",IF(ISERROR(VLOOKUP($A$4&amp;TEXT($A54,"000"),Sonntag!$B$23:$T$139,11,FALSE)),"",VLOOKUP($A$4&amp;TEXT($A54,"000"),Sonntag!$B$23:$T$139,11,FALSE))))</f>
        <v xml:space="preserve">  Schwaben</v>
      </c>
      <c r="R56" s="53"/>
      <c r="S56" s="53"/>
      <c r="T56" s="53"/>
      <c r="U56" s="53"/>
      <c r="V56" s="53"/>
      <c r="W56" s="158"/>
      <c r="Y56" s="34" t="s">
        <v>17</v>
      </c>
      <c r="AC56" s="148"/>
    </row>
    <row r="57" spans="1:29" ht="4.7" customHeight="1">
      <c r="A57" s="39"/>
      <c r="C57" s="167"/>
      <c r="D57" s="161"/>
      <c r="E57" s="161"/>
      <c r="F57" s="167"/>
      <c r="G57" s="159"/>
      <c r="H57" s="159"/>
      <c r="I57" s="159"/>
      <c r="J57" s="159"/>
      <c r="K57" s="162"/>
      <c r="L57" s="163"/>
      <c r="M57" s="164"/>
      <c r="N57" s="152"/>
      <c r="P57" s="157"/>
      <c r="Q57" s="53"/>
      <c r="R57" s="53"/>
      <c r="S57" s="53"/>
      <c r="T57" s="53"/>
      <c r="U57" s="53"/>
      <c r="V57" s="53"/>
      <c r="W57" s="158"/>
      <c r="X57" s="34" t="s">
        <v>17</v>
      </c>
      <c r="AC57" s="148"/>
    </row>
    <row r="58" spans="1:29" ht="17.25" customHeight="1">
      <c r="A58" s="39" t="s">
        <v>144</v>
      </c>
      <c r="B58" s="34" t="s">
        <v>25</v>
      </c>
      <c r="C58" s="140" t="str">
        <f>"1."&amp;+$D24&amp;"  Sieger "&amp;B48</f>
        <v>1.Gruppe D  Sieger c</v>
      </c>
      <c r="D58" s="141" t="str">
        <f ca="1">"  "&amp;IF(Y31="","",IF(ISERROR(VLOOKUP($A$4&amp;TEXT($A58,"000"),Sonntag!$B$23:$S$161,8,FALSE)),"",VLOOKUP($A$4&amp;TEXT($A58,"000"),Sonntag!$B$23:$S$161,8,FALSE)))&amp;" : "&amp;IF(N48="","",IF(ISERROR(VLOOKUP($A$4&amp;TEXT($A58,"000"),Sonntag!$B$23:$S$161,11,FALSE)),"",VLOOKUP($A$4&amp;TEXT($A58,"000"),Sonntag!$B$23:$S$161,11,FALSE)))</f>
        <v xml:space="preserve">  Sachsen : Baden</v>
      </c>
      <c r="E58" s="155"/>
      <c r="F58" s="165"/>
      <c r="G58" s="165"/>
      <c r="H58" s="165"/>
      <c r="I58" s="165"/>
      <c r="J58" s="83"/>
      <c r="K58" s="145">
        <f>IF(N58="","",IF(ISERROR(VLOOKUP($A$4&amp;TEXT($A$42,"000"),Sonntag!$B$23:$S$93,16,FALSE)),"",VLOOKUP($A$4&amp;TEXT($A58,"000"),Sonntag!$B$23:$S$93,16,FALSE)))</f>
        <v>28</v>
      </c>
      <c r="L58" s="48" t="s">
        <v>15</v>
      </c>
      <c r="M58" s="146">
        <f>IF(N58="","",IF(ISERROR(VLOOKUP($A$4&amp;TEXT($A$42,"000"),Sonntag!$B$23:$S$93,18,FALSE)),"",VLOOKUP($A$4&amp;TEXT($A58,"000"),Sonntag!$B$23:$S$93,18,FALSE)))</f>
        <v>36</v>
      </c>
      <c r="N58" s="152" t="s">
        <v>17</v>
      </c>
      <c r="P58" s="157">
        <v>7</v>
      </c>
      <c r="Q58" s="306" t="str">
        <f>IF(Y58="","","  "&amp;IF($AR$29=1,$AE$29,IF($AR$31=1,$AE$31,IF($AR$33=1,$AE$33,0))))</f>
        <v xml:space="preserve">  Westfalen</v>
      </c>
      <c r="R58" s="53"/>
      <c r="S58" s="53"/>
      <c r="T58" s="53"/>
      <c r="U58" s="53"/>
      <c r="V58" s="53"/>
      <c r="W58" s="158"/>
      <c r="Y58" s="34" t="s">
        <v>17</v>
      </c>
      <c r="AC58" s="148"/>
    </row>
    <row r="59" spans="1:29" ht="18" customHeight="1">
      <c r="A59" s="39"/>
      <c r="C59" s="176" t="s">
        <v>211</v>
      </c>
      <c r="D59" s="161"/>
      <c r="E59" s="161"/>
      <c r="F59" s="167"/>
      <c r="G59" s="159"/>
      <c r="H59" s="159"/>
      <c r="I59" s="159"/>
      <c r="J59" s="159"/>
      <c r="K59" s="162"/>
      <c r="L59" s="163"/>
      <c r="M59" s="164"/>
      <c r="N59" s="152"/>
      <c r="P59" s="157">
        <v>8</v>
      </c>
      <c r="Q59" s="306" t="str">
        <f>IF(Y59="","","  "&amp;IF($AR$29=2,$AE$29,IF($AR$31=2,$AE$31,IF($AR$33=2,$AE$33,0))))</f>
        <v xml:space="preserve">  Berlin</v>
      </c>
      <c r="R59" s="53"/>
      <c r="S59" s="53"/>
      <c r="T59" s="53"/>
      <c r="U59" s="53"/>
      <c r="V59" s="53"/>
      <c r="W59" s="158"/>
      <c r="Y59" s="34" t="s">
        <v>17</v>
      </c>
      <c r="AC59" s="148"/>
    </row>
    <row r="60" spans="1:29" ht="17.25" customHeight="1">
      <c r="A60" s="39" t="s">
        <v>241</v>
      </c>
      <c r="C60" s="168" t="str">
        <f>"Ver."&amp;B56&amp;"/"&amp;B58&amp;"         Pl.3-4"</f>
        <v>Ver.e/f         Pl.3-4</v>
      </c>
      <c r="D60" s="141" t="str">
        <f ca="1">"  "&amp;IF(N56="","",IF(ISERROR(VLOOKUP($A$4&amp;TEXT($A60,"000"),Sonntag!$B$23:$S$161,8,FALSE)),"",VLOOKUP($A$4&amp;TEXT($A60,"000"),Sonntag!$B$23:$S$161,8,FALSE)))&amp;" : "&amp;IF(N58="","",IF(ISERROR(VLOOKUP($A$4&amp;TEXT($A60,"000"),Sonntag!$B$23:$S$161,11,FALSE)),"",VLOOKUP($A$4&amp;TEXT($A60,"000"),Sonntag!$B$23:$S$161,11,FALSE)))</f>
        <v xml:space="preserve">  Bremen : Sachsen</v>
      </c>
      <c r="E60" s="155"/>
      <c r="F60" s="165"/>
      <c r="G60" s="165"/>
      <c r="H60" s="165"/>
      <c r="I60" s="165"/>
      <c r="J60" s="83"/>
      <c r="K60" s="145">
        <f>IF(N60="","",IF(ISERROR(VLOOKUP($A$4&amp;TEXT($A$42,"000"),Sonntag!$B$23:$S$93,16,FALSE)),"",VLOOKUP($A$4&amp;TEXT($A60,"000"),Sonntag!$B$23:$S$93,16,FALSE)))</f>
        <v>29</v>
      </c>
      <c r="L60" s="48" t="s">
        <v>15</v>
      </c>
      <c r="M60" s="146">
        <f>IF(N60="","",IF(ISERROR(VLOOKUP($A$4&amp;TEXT($A$42,"000"),Sonntag!$B$23:$S$93,18,FALSE)),"",VLOOKUP($A$4&amp;TEXT($A60,"000"),Sonntag!$B$23:$S$93,18,FALSE)))</f>
        <v>35</v>
      </c>
      <c r="N60" s="152" t="s">
        <v>17</v>
      </c>
      <c r="P60" s="157">
        <v>9</v>
      </c>
      <c r="Q60" s="306" t="str">
        <f>IF(Y60="","","  "&amp;IF($AR$29=3,$AE$29,IF($AR$31=3,$AE$31,IF($AR$33=3,$AE$33,0))))</f>
        <v xml:space="preserve">  Pfalz</v>
      </c>
      <c r="R60" s="53"/>
      <c r="S60" s="53"/>
      <c r="T60" s="53"/>
      <c r="U60" s="53"/>
      <c r="V60" s="53"/>
      <c r="W60" s="158"/>
      <c r="Y60" s="34" t="s">
        <v>17</v>
      </c>
      <c r="AC60" s="148"/>
    </row>
    <row r="61" spans="1:29" ht="4.7" customHeight="1">
      <c r="A61" s="39"/>
      <c r="C61" s="159"/>
      <c r="D61" s="161"/>
      <c r="E61" s="161"/>
      <c r="F61" s="159"/>
      <c r="G61" s="159"/>
      <c r="H61" s="159"/>
      <c r="I61" s="167"/>
      <c r="J61" s="159"/>
      <c r="K61" s="162"/>
      <c r="L61" s="163"/>
      <c r="M61" s="164"/>
      <c r="N61" s="152"/>
      <c r="P61" s="169"/>
      <c r="Q61" s="161"/>
      <c r="R61" s="53"/>
      <c r="S61" s="53"/>
      <c r="T61" s="53"/>
      <c r="U61" s="53"/>
      <c r="V61" s="53"/>
      <c r="W61" s="158"/>
      <c r="AC61" s="148"/>
    </row>
    <row r="62" spans="1:29" ht="17.25" customHeight="1">
      <c r="A62" s="39"/>
      <c r="C62" s="177" t="s">
        <v>26</v>
      </c>
      <c r="D62" s="53"/>
      <c r="E62" s="161"/>
      <c r="F62" s="159"/>
      <c r="G62" s="159"/>
      <c r="H62" s="41"/>
      <c r="I62" s="170"/>
      <c r="J62" s="41"/>
      <c r="K62" s="162"/>
      <c r="L62" s="163"/>
      <c r="M62" s="164"/>
      <c r="N62" s="152"/>
      <c r="P62" s="171">
        <v>10</v>
      </c>
      <c r="Q62" s="188"/>
      <c r="R62" s="55"/>
      <c r="S62" s="55"/>
      <c r="T62" s="55"/>
      <c r="U62" s="55"/>
      <c r="V62" s="55"/>
      <c r="W62" s="172"/>
      <c r="AC62" s="148"/>
    </row>
    <row r="63" spans="1:29" ht="18" customHeight="1">
      <c r="A63" s="39" t="s">
        <v>242</v>
      </c>
      <c r="C63" s="168" t="str">
        <f>"S."&amp;B56&amp;"/"&amp;B58&amp;"         1./2. Pl."</f>
        <v>S.e/f         1./2. Pl.</v>
      </c>
      <c r="D63" s="141" t="str">
        <f ca="1">"  "&amp;IF(N56="","",IF(ISERROR(VLOOKUP($A$4&amp;TEXT($A63,"000"),Sonntag!$B$23:$S$161,8,FALSE)),"",VLOOKUP($A$4&amp;TEXT($A63,"000"),Sonntag!$B$23:$S$161,8,FALSE)))&amp;" : "&amp;IF(N58="","",IF(ISERROR(VLOOKUP($A$4&amp;TEXT($A63,"000"),Sonntag!$B$23:$S$161,11,FALSE)),"",VLOOKUP($A$4&amp;TEXT($A63,"000"),Sonntag!$B$23:$S$161,11,FALSE)))</f>
        <v xml:space="preserve">  Niedersachsen : Baden</v>
      </c>
      <c r="E63" s="155"/>
      <c r="F63" s="173"/>
      <c r="G63" s="174"/>
      <c r="H63" s="165"/>
      <c r="I63" s="165"/>
      <c r="J63" s="83"/>
      <c r="K63" s="145">
        <f>IF(N63="","",IF(ISERROR(VLOOKUP($A$4&amp;TEXT($A$42,"000"),Sonntag!$B$23:$S$93,16,FALSE)),"",VLOOKUP($A$4&amp;TEXT($A63,"000"),Sonntag!$B$23:$S$93,16,FALSE)))</f>
        <v>37</v>
      </c>
      <c r="L63" s="48" t="s">
        <v>15</v>
      </c>
      <c r="M63" s="146">
        <f>IF(N63="","",IF(ISERROR(VLOOKUP($A$4&amp;TEXT($A$42,"000"),Sonntag!$B$23:$S$93,18,FALSE)),"",VLOOKUP($A$4&amp;TEXT($A63,"000"),Sonntag!$B$23:$S$93,18,FALSE)))</f>
        <v>31</v>
      </c>
      <c r="N63" s="35" t="s">
        <v>17</v>
      </c>
      <c r="AC63" s="148"/>
    </row>
    <row r="64" spans="1:29" ht="17.25" customHeight="1">
      <c r="A64" s="39"/>
      <c r="N64" s="152"/>
      <c r="AC64" s="148"/>
    </row>
    <row r="65" spans="2:14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</row>
  </sheetData>
  <mergeCells count="1">
    <mergeCell ref="Q2:W2"/>
  </mergeCells>
  <conditionalFormatting sqref="H25 G31:H31 J31:K31 M31 E31 G33:H33 J33:K33 E33 G29:H29 J29 E29 P33 M33:N33 G27 E27 H6 G12:H12 J12:K12 M12 E12 G14:H14 J14:K14 E14 G10:H10 J10 E10 P14 M14:N14 J6:K6 M6:N6 P6:Q6 S6 S8 S10 Q12 S12 N10 P10:Q10 P8:Q8 K8 M8:N8 J25:K25 M25:N25 P25:Q25 S25 S27 S29 Q31 S31 N29 P29:Q29 K27 M27:N27 P27:Q27">
    <cfRule type="cellIs" dxfId="9" priority="2" stopIfTrue="1" operator="lessThan">
      <formula>1</formula>
    </cfRule>
  </conditionalFormatting>
  <conditionalFormatting sqref="E8 G8">
    <cfRule type="cellIs" dxfId="8" priority="1" stopIfTrue="1" operator="lessThan">
      <formula>1</formula>
    </cfRule>
  </conditionalFormatting>
  <printOptions horizontalCentered="1" verticalCentered="1"/>
  <pageMargins left="0.35433070866141736" right="0.35433070866141736" top="0.19685039370078741" bottom="0.39370078740157483" header="0.51181102362204722" footer="0.51181102362204722"/>
  <pageSetup paperSize="9" scale="90" orientation="portrait" r:id="rId1"/>
  <headerFooter alignWithMargins="0">
    <oddFooter>&amp;R&amp;6&amp;F;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T65"/>
  <sheetViews>
    <sheetView showGridLines="0" topLeftCell="B26" zoomScale="90" zoomScaleNormal="90" workbookViewId="0">
      <selection activeCell="P64" sqref="P64"/>
    </sheetView>
  </sheetViews>
  <sheetFormatPr baseColWidth="10" defaultRowHeight="12.75" outlineLevelRow="1" outlineLevelCol="1"/>
  <cols>
    <col min="1" max="1" width="3" style="34" hidden="1" customWidth="1" outlineLevel="1"/>
    <col min="2" max="2" width="2" style="34" customWidth="1" collapsed="1"/>
    <col min="3" max="3" width="6.85546875" style="34" customWidth="1"/>
    <col min="4" max="4" width="24.7109375" style="34" customWidth="1"/>
    <col min="5" max="5" width="4" style="34" customWidth="1"/>
    <col min="6" max="6" width="1.7109375" style="34" customWidth="1"/>
    <col min="7" max="8" width="4" style="34" customWidth="1"/>
    <col min="9" max="9" width="1.7109375" style="34" customWidth="1"/>
    <col min="10" max="11" width="4" style="34" customWidth="1"/>
    <col min="12" max="12" width="1.7109375" style="34" customWidth="1"/>
    <col min="13" max="14" width="4" style="34" customWidth="1"/>
    <col min="15" max="15" width="1.7109375" style="34" customWidth="1"/>
    <col min="16" max="17" width="4" style="34" customWidth="1"/>
    <col min="18" max="18" width="1.7109375" style="34" customWidth="1"/>
    <col min="19" max="20" width="4" style="34" customWidth="1"/>
    <col min="21" max="21" width="1.7109375" style="34" customWidth="1"/>
    <col min="22" max="22" width="4" style="34" customWidth="1"/>
    <col min="23" max="23" width="4.7109375" style="34" customWidth="1"/>
    <col min="24" max="24" width="6.5703125" style="34" hidden="1" customWidth="1" outlineLevel="1"/>
    <col min="25" max="25" width="4" style="34" customWidth="1" collapsed="1"/>
    <col min="26" max="26" width="4.85546875" style="34" customWidth="1"/>
    <col min="27" max="27" width="1.7109375" style="34" customWidth="1"/>
    <col min="28" max="28" width="4" style="34" customWidth="1"/>
    <col min="29" max="29" width="24" style="34" bestFit="1" customWidth="1"/>
    <col min="30" max="30" width="4.7109375" style="34" customWidth="1"/>
    <col min="31" max="31" width="24" style="34" bestFit="1" customWidth="1"/>
    <col min="32" max="32" width="3" style="34" bestFit="1" customWidth="1"/>
    <col min="33" max="33" width="1.28515625" style="34" customWidth="1"/>
    <col min="34" max="35" width="3" style="34" bestFit="1" customWidth="1"/>
    <col min="36" max="36" width="1.28515625" style="34" customWidth="1"/>
    <col min="37" max="38" width="3" style="34" bestFit="1" customWidth="1"/>
    <col min="39" max="39" width="1.28515625" style="34" customWidth="1"/>
    <col min="40" max="41" width="3" style="34" bestFit="1" customWidth="1"/>
    <col min="42" max="42" width="1.28515625" style="34" customWidth="1"/>
    <col min="43" max="44" width="3" style="34" bestFit="1" customWidth="1"/>
    <col min="45" max="45" width="4.7109375" style="34" customWidth="1"/>
    <col min="46" max="47" width="3" style="34" bestFit="1" customWidth="1"/>
    <col min="48" max="48" width="1.28515625" style="34" customWidth="1"/>
    <col min="49" max="49" width="3" style="34" bestFit="1" customWidth="1"/>
    <col min="50" max="16384" width="11.42578125" style="34"/>
  </cols>
  <sheetData>
    <row r="1" spans="1:31" ht="24.95" customHeight="1">
      <c r="B1" s="183"/>
      <c r="C1" s="189" t="str">
        <f>Daten!A1&amp;" "&amp;Daten!B1&amp;" "&amp;Daten!L1</f>
        <v>35. Deutschlandpokal der Jugend 2018</v>
      </c>
      <c r="D1" s="184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31" ht="21.75" customHeight="1">
      <c r="C2" s="68"/>
      <c r="D2" s="69" t="s">
        <v>27</v>
      </c>
      <c r="E2" s="70"/>
      <c r="F2" s="71"/>
      <c r="G2" s="70"/>
      <c r="H2" s="53"/>
      <c r="I2" s="53"/>
      <c r="J2" s="53"/>
      <c r="K2" s="72"/>
      <c r="L2" s="53"/>
      <c r="M2" s="53"/>
      <c r="N2" s="53"/>
      <c r="O2" s="53"/>
      <c r="P2" s="53"/>
      <c r="Q2" s="370" t="str">
        <f>+Daten!I23</f>
        <v>weibl. Jgd. 15-18</v>
      </c>
      <c r="R2" s="371"/>
      <c r="S2" s="371"/>
      <c r="T2" s="371"/>
      <c r="U2" s="371"/>
      <c r="V2" s="371"/>
      <c r="W2" s="372"/>
    </row>
    <row r="3" spans="1:31" ht="6.75" customHeight="1">
      <c r="C3" s="73"/>
      <c r="D3" s="53"/>
      <c r="E3" s="70"/>
      <c r="F3" s="71"/>
      <c r="G3" s="70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73"/>
      <c r="T3" s="53"/>
      <c r="U3" s="53"/>
      <c r="V3" s="53"/>
      <c r="W3" s="53"/>
    </row>
    <row r="4" spans="1:31" ht="21.75" hidden="1" customHeight="1" outlineLevel="1">
      <c r="A4" s="34" t="s">
        <v>179</v>
      </c>
      <c r="C4" s="74"/>
      <c r="D4" s="75"/>
      <c r="E4" s="70"/>
      <c r="F4" s="53">
        <v>1</v>
      </c>
      <c r="G4" s="70"/>
      <c r="H4" s="53"/>
      <c r="I4" s="53">
        <v>2</v>
      </c>
      <c r="J4" s="53"/>
      <c r="K4" s="53"/>
      <c r="L4" s="53">
        <v>3</v>
      </c>
      <c r="M4" s="53"/>
      <c r="N4" s="53"/>
      <c r="O4" s="53">
        <v>4</v>
      </c>
      <c r="P4" s="53"/>
      <c r="Q4" s="53"/>
      <c r="R4" s="53">
        <v>5</v>
      </c>
      <c r="S4" s="74"/>
      <c r="T4" s="75"/>
      <c r="U4" s="75"/>
      <c r="V4" s="75"/>
      <c r="W4" s="75"/>
    </row>
    <row r="5" spans="1:31" ht="12.75" customHeight="1" collapsed="1">
      <c r="C5" s="76"/>
      <c r="D5" s="77" t="str">
        <f>+Daten!I24</f>
        <v>Gruppe E</v>
      </c>
      <c r="E5" s="78"/>
      <c r="F5" s="79" t="str">
        <f>+D6</f>
        <v>Bremen</v>
      </c>
      <c r="G5" s="80"/>
      <c r="H5" s="81"/>
      <c r="I5" s="82" t="str">
        <f>+D8</f>
        <v>Baden</v>
      </c>
      <c r="J5" s="83"/>
      <c r="K5" s="84"/>
      <c r="L5" s="82" t="str">
        <f>+D10</f>
        <v>Rheinland</v>
      </c>
      <c r="M5" s="83"/>
      <c r="N5" s="84"/>
      <c r="O5" s="82" t="str">
        <f>+D12</f>
        <v>Berlin</v>
      </c>
      <c r="P5" s="83"/>
      <c r="Q5" s="84"/>
      <c r="R5" s="85" t="str">
        <f>+D14</f>
        <v/>
      </c>
      <c r="S5" s="83"/>
      <c r="T5" s="81"/>
      <c r="U5" s="86" t="s">
        <v>12</v>
      </c>
      <c r="V5" s="87"/>
      <c r="W5" s="88" t="s">
        <v>13</v>
      </c>
    </row>
    <row r="6" spans="1:31" ht="15.2" customHeight="1">
      <c r="A6" s="34">
        <v>1</v>
      </c>
      <c r="C6" s="89" t="str">
        <f>IF(Daten!B25="","",Daten!B25)</f>
        <v/>
      </c>
      <c r="D6" s="90" t="str">
        <f>IF(Daten!I25="","",Daten!I25)</f>
        <v>Bremen</v>
      </c>
      <c r="E6" s="91"/>
      <c r="F6" s="92"/>
      <c r="G6" s="93"/>
      <c r="H6" s="94">
        <f>IF(ISERROR(VLOOKUP($A$4&amp;TEXT($A6,"00")&amp;TEXT(I$4,"00"),Samstag!$B$24:$S$162,16,FALSE)),"",VLOOKUP($A$4&amp;TEXT($A6,"00")&amp;TEXT(I$4,"00"),Samstag!$B$24:$S$162,16,FALSE))</f>
        <v>38</v>
      </c>
      <c r="I6" s="49" t="s">
        <v>15</v>
      </c>
      <c r="J6" s="95">
        <f>IF(ISERROR(VLOOKUP($A$4&amp;TEXT($A6,"00")&amp;TEXT(I$4,"00"),Samstag!$B$24:$S$162,18,FALSE)),"",VLOOKUP($A$4&amp;TEXT($A6,"00")&amp;TEXT(I$4,"00"),Samstag!$B$24:$S$162,18,FALSE))</f>
        <v>22</v>
      </c>
      <c r="K6" s="94">
        <f>IF(ISERROR(VLOOKUP($A$4&amp;TEXT($A6,"00")&amp;TEXT(L$4,"00"),Samstag!$B$24:$S$162,16,FALSE)),"",VLOOKUP($A$4&amp;TEXT($A6,"00")&amp;TEXT(L$4,"00"),Samstag!$B$24:$S$162,16,FALSE))</f>
        <v>28</v>
      </c>
      <c r="L6" s="49" t="s">
        <v>15</v>
      </c>
      <c r="M6" s="95">
        <f>IF(ISERROR(VLOOKUP($A$4&amp;TEXT($A6,"00")&amp;TEXT(L$4,"00"),Samstag!$B$24:$S$162,18,FALSE)),"",VLOOKUP($A$4&amp;TEXT($A6,"00")&amp;TEXT(L$4,"00"),Samstag!$B$24:$S$162,18,FALSE))</f>
        <v>26</v>
      </c>
      <c r="N6" s="94">
        <f>IF(ISERROR(VLOOKUP($A$4&amp;TEXT($A6,"00")&amp;TEXT(O$4,"00"),Samstag!$B$24:$S$162,16,FALSE)),"",VLOOKUP($A$4&amp;TEXT($A6,"00")&amp;TEXT(O$4,"00"),Samstag!$B$24:$S$162,16,FALSE))</f>
        <v>38</v>
      </c>
      <c r="O6" s="49" t="s">
        <v>15</v>
      </c>
      <c r="P6" s="95">
        <f>IF(ISERROR(VLOOKUP($A$4&amp;TEXT($A6,"00")&amp;TEXT(O$4,"00"),Samstag!$B$24:$S$162,18,FALSE)),"",VLOOKUP($A$4&amp;TEXT($A6,"00")&amp;TEXT(O$4,"00"),Samstag!$B$24:$S$162,18,FALSE))</f>
        <v>19</v>
      </c>
      <c r="Q6" s="94" t="str">
        <f>IF(ISERROR(VLOOKUP($A$4&amp;TEXT($A6,"00")&amp;TEXT(R$4,"00"),Samstag!$B$24:$S$162,16,FALSE)),"",VLOOKUP($A$4&amp;TEXT($A6,"00")&amp;TEXT(R$4,"00"),Samstag!$B$24:$S$162,16,FALSE))</f>
        <v/>
      </c>
      <c r="R6" s="49" t="s">
        <v>15</v>
      </c>
      <c r="S6" s="95" t="str">
        <f>IF(ISERROR(VLOOKUP($A$4&amp;TEXT($A6,"00")&amp;TEXT(R$4,"00"),Samstag!$B$24:$S$162,18,FALSE)),"",VLOOKUP($A$4&amp;TEXT($A6,"00")&amp;TEXT(R$4,"00"),Samstag!$B$24:$S$162,18,FALSE))</f>
        <v/>
      </c>
      <c r="T6" s="96">
        <f>IF(Y7="","",SUM(E6,H6,K6,N6,Q6))</f>
        <v>104</v>
      </c>
      <c r="U6" s="49" t="s">
        <v>15</v>
      </c>
      <c r="V6" s="97">
        <f>IF(Y7="","",SUM(G6,J6,M6,P6,S6))</f>
        <v>67</v>
      </c>
      <c r="W6" s="98">
        <f>IF(Y6="","",RANK(X7,($X$7,$X$9,$X$11,$X$13,$X$15),0))</f>
        <v>1</v>
      </c>
      <c r="X6" s="308"/>
      <c r="Y6" s="99" t="s">
        <v>17</v>
      </c>
      <c r="AB6" s="34">
        <v>1</v>
      </c>
      <c r="AC6" s="100" t="str">
        <f>IF(W6="","",IF($W$6=1,$D$6,IF($W$8=1,$D$8,IF($W$10=1,$D$10,IF($W$12=1,$D$12,IF($W$14=1,$D$14,0))))))</f>
        <v>Bremen</v>
      </c>
      <c r="AD6" s="101"/>
      <c r="AE6" s="101"/>
    </row>
    <row r="7" spans="1:31" ht="11.1" customHeight="1">
      <c r="C7" s="111"/>
      <c r="D7" s="185"/>
      <c r="E7" s="103"/>
      <c r="F7" s="104"/>
      <c r="G7" s="105"/>
      <c r="H7" s="106">
        <f>IF(OR(H6="",H6=0),"",IF(H6&gt;J6,2,IF(H6&lt;J6,0,1)))</f>
        <v>2</v>
      </c>
      <c r="I7" s="40" t="s">
        <v>16</v>
      </c>
      <c r="J7" s="107">
        <f>IF(OR(J6="",J6=0),"",IF(J6&gt;H6,2,IF(J6&lt;H6,0,1)))</f>
        <v>0</v>
      </c>
      <c r="K7" s="106">
        <f>IF(OR(K6="",K6=0),"",IF(K6&gt;M6,2,IF(K6&lt;M6,0,1)))</f>
        <v>2</v>
      </c>
      <c r="L7" s="40" t="s">
        <v>16</v>
      </c>
      <c r="M7" s="107">
        <f>IF(OR(M6="",M6=0),"",IF(M6&gt;K6,2,IF(M6&lt;K6,0,1)))</f>
        <v>0</v>
      </c>
      <c r="N7" s="106">
        <f>IF(OR(N6="",N6=0),"",IF(N6&gt;P6,2,IF(N6&lt;P6,0,1)))</f>
        <v>2</v>
      </c>
      <c r="O7" s="40" t="s">
        <v>16</v>
      </c>
      <c r="P7" s="107">
        <f>IF(OR(P6="",P6=0),"",IF(P6&gt;N6,2,IF(P6&lt;N6,0,1)))</f>
        <v>0</v>
      </c>
      <c r="Q7" s="106" t="str">
        <f>IF(OR(Q6="",Q6=0),"",IF(Q6&gt;S6,2,IF(Q6&lt;S6,0,1)))</f>
        <v/>
      </c>
      <c r="R7" s="40" t="s">
        <v>16</v>
      </c>
      <c r="S7" s="107" t="str">
        <f>IF(OR(S6="",S6=0),"",IF(S6&gt;Q6,2,IF(S6&lt;Q6,0,1)))</f>
        <v/>
      </c>
      <c r="T7" s="106">
        <f>IF(Y7="","",SUM(E7,H7,K7,N7,Q7))</f>
        <v>6</v>
      </c>
      <c r="U7" s="40" t="s">
        <v>16</v>
      </c>
      <c r="V7" s="107">
        <f>IF(Y7="","",SUM(G7,J7,M7,P7,S7))</f>
        <v>0</v>
      </c>
      <c r="W7" s="108"/>
      <c r="X7" s="309">
        <f>+(T7-V7)+T6/V6+T7</f>
        <v>13.552238805970148</v>
      </c>
      <c r="Y7" s="99" t="s">
        <v>17</v>
      </c>
      <c r="AC7" s="100"/>
    </row>
    <row r="8" spans="1:31" ht="15.2" customHeight="1">
      <c r="A8" s="34">
        <v>2</v>
      </c>
      <c r="C8" s="89" t="str">
        <f>IF(Daten!B26="","",Daten!B26)</f>
        <v/>
      </c>
      <c r="D8" s="90" t="str">
        <f>IF(Daten!I26="","",Daten!I26)</f>
        <v>Baden</v>
      </c>
      <c r="E8" s="94">
        <f>IF(J6="","",J6)</f>
        <v>22</v>
      </c>
      <c r="F8" s="49" t="s">
        <v>15</v>
      </c>
      <c r="G8" s="95">
        <f>IF(H6="","",H6)</f>
        <v>38</v>
      </c>
      <c r="H8" s="91"/>
      <c r="I8" s="92"/>
      <c r="J8" s="93"/>
      <c r="K8" s="94">
        <f>IF(ISERROR(VLOOKUP($A$4&amp;TEXT($A8,"00")&amp;TEXT(L$4,"00"),Samstag!$B$24:$S$162,16,FALSE)),"",VLOOKUP($A$4&amp;TEXT($A8,"00")&amp;TEXT(L$4,"00"),Samstag!$B$24:$S$162,16,FALSE))</f>
        <v>24</v>
      </c>
      <c r="L8" s="49" t="s">
        <v>15</v>
      </c>
      <c r="M8" s="95">
        <f>IF(ISERROR(VLOOKUP($A$4&amp;TEXT($A8,"00")&amp;TEXT(L$4,"00"),Samstag!$B$24:$S$162,18,FALSE)),"",VLOOKUP($A$4&amp;TEXT($A8,"00")&amp;TEXT(L$4,"00"),Samstag!$B$24:$S$162,18,FALSE))</f>
        <v>35</v>
      </c>
      <c r="N8" s="94">
        <f>IF(ISERROR(VLOOKUP($A$4&amp;TEXT($A8,"00")&amp;TEXT(O$4,"00"),Samstag!$B$24:$S$162,16,FALSE)),"",VLOOKUP($A$4&amp;TEXT($A8,"00")&amp;TEXT(O$4,"00"),Samstag!$B$24:$S$162,16,FALSE))</f>
        <v>28</v>
      </c>
      <c r="O8" s="49" t="s">
        <v>15</v>
      </c>
      <c r="P8" s="95">
        <f>IF(ISERROR(VLOOKUP($A$4&amp;TEXT($A8,"00")&amp;TEXT(O$4,"00"),Samstag!$B$24:$S$162,18,FALSE)),"",VLOOKUP($A$4&amp;TEXT($A8,"00")&amp;TEXT(O$4,"00"),Samstag!$B$24:$S$162,18,FALSE))</f>
        <v>33</v>
      </c>
      <c r="Q8" s="94" t="str">
        <f>IF(ISERROR(VLOOKUP($A$4&amp;TEXT($A8,"00")&amp;TEXT(R$4,"00"),Samstag!$B$24:$S$162,16,FALSE)),"",VLOOKUP($A$4&amp;TEXT($A8,"00")&amp;TEXT(R$4,"00"),Samstag!$B$24:$S$162,16,FALSE))</f>
        <v/>
      </c>
      <c r="R8" s="49" t="s">
        <v>15</v>
      </c>
      <c r="S8" s="95" t="str">
        <f>IF(ISERROR(VLOOKUP($A$4&amp;TEXT($A8,"00")&amp;TEXT(R$4,"00"),Samstag!$B$24:$S$162,18,FALSE)),"",VLOOKUP($A$4&amp;TEXT($A8,"00")&amp;TEXT(R$4,"00"),Samstag!$B$24:$S$162,18,FALSE))</f>
        <v/>
      </c>
      <c r="T8" s="96">
        <f>IF(Y9="","",SUM(E8,H8,K8,N8,Q8))</f>
        <v>74</v>
      </c>
      <c r="U8" s="49" t="s">
        <v>15</v>
      </c>
      <c r="V8" s="97">
        <f>IF(Y9="","",SUM(G8,J8,M8,P8,S8))</f>
        <v>106</v>
      </c>
      <c r="W8" s="98">
        <f>IF(Y8="","",RANK(X9,($X$7,$X$9,$X$11,$X$13,$X$15),0))</f>
        <v>4</v>
      </c>
      <c r="X8" s="308"/>
      <c r="Y8" s="99" t="s">
        <v>17</v>
      </c>
      <c r="AB8" s="34">
        <v>2</v>
      </c>
      <c r="AC8" s="100" t="str">
        <f>IF(W8="","",IF($W$6=2,$D$6,IF($W$8=2,$D$8,IF($W$10=2,$D$10,IF($W$12=2,$D$12,IF($W$14=2,$D$14,0))))))</f>
        <v>Rheinland</v>
      </c>
      <c r="AD8" s="101"/>
      <c r="AE8" s="101"/>
    </row>
    <row r="9" spans="1:31" ht="11.1" customHeight="1">
      <c r="C9" s="102"/>
      <c r="D9" s="54"/>
      <c r="E9" s="106">
        <f>IF(OR(E8="",E8=0),"",IF(E8&gt;G8,2,IF(E8&lt;G8,0,1)))</f>
        <v>0</v>
      </c>
      <c r="F9" s="40" t="s">
        <v>16</v>
      </c>
      <c r="G9" s="107">
        <f>IF(OR(G8="",G8=0),"",IF(G8&gt;E8,2,IF(G8&lt;E8,0,1)))</f>
        <v>2</v>
      </c>
      <c r="H9" s="103"/>
      <c r="I9" s="104"/>
      <c r="J9" s="105"/>
      <c r="K9" s="106">
        <f>IF(OR(K8="",K8=0),"",IF(K8&gt;M8,2,IF(K8&lt;M8,0,1)))</f>
        <v>0</v>
      </c>
      <c r="L9" s="40" t="s">
        <v>16</v>
      </c>
      <c r="M9" s="107">
        <f>IF(OR(M8="",M8=0),"",IF(M8&gt;K8,2,IF(M8&lt;K8,0,1)))</f>
        <v>2</v>
      </c>
      <c r="N9" s="106">
        <f>IF(OR(N8="",N8=0),"",IF(N8&gt;P8,2,IF(N8&lt;P8,0,1)))</f>
        <v>0</v>
      </c>
      <c r="O9" s="40" t="s">
        <v>16</v>
      </c>
      <c r="P9" s="107">
        <f>IF(OR(P8="",P8=0),"",IF(P8&gt;N8,2,IF(P8&lt;N8,0,1)))</f>
        <v>2</v>
      </c>
      <c r="Q9" s="106" t="str">
        <f>IF(OR(Q8="",Q8=0),"",IF(Q8&gt;S8,2,IF(Q8&lt;S8,0,1)))</f>
        <v/>
      </c>
      <c r="R9" s="40" t="s">
        <v>16</v>
      </c>
      <c r="S9" s="107" t="str">
        <f>IF(OR(S8="",S8=0),"",IF(S8&gt;Q8,2,IF(S8&lt;Q8,0,1)))</f>
        <v/>
      </c>
      <c r="T9" s="106">
        <f>IF(Y9="","",SUM(E9,H9,K9,N9,Q9))</f>
        <v>0</v>
      </c>
      <c r="U9" s="40" t="s">
        <v>16</v>
      </c>
      <c r="V9" s="107">
        <f>IF(Y9="","",SUM(G9,J9,M9,P9,S9))</f>
        <v>6</v>
      </c>
      <c r="W9" s="108"/>
      <c r="X9" s="309">
        <f>+(T9-V9)+T8/V8+T9</f>
        <v>-5.3018867924528301</v>
      </c>
      <c r="Y9" s="99" t="s">
        <v>17</v>
      </c>
      <c r="AC9" s="100"/>
    </row>
    <row r="10" spans="1:31" ht="15.2" customHeight="1">
      <c r="A10" s="34">
        <v>3</v>
      </c>
      <c r="C10" s="89" t="str">
        <f>IF(Daten!B27="","",Daten!B27)</f>
        <v/>
      </c>
      <c r="D10" s="90" t="str">
        <f>IF(Daten!I27="","",Daten!I27)</f>
        <v>Rheinland</v>
      </c>
      <c r="E10" s="94">
        <f>IF(M6="","",M6)</f>
        <v>26</v>
      </c>
      <c r="F10" s="49" t="s">
        <v>15</v>
      </c>
      <c r="G10" s="95">
        <f>IF(K6="","",K6)</f>
        <v>28</v>
      </c>
      <c r="H10" s="94">
        <f>IF(M8="","",M8)</f>
        <v>35</v>
      </c>
      <c r="I10" s="49" t="s">
        <v>15</v>
      </c>
      <c r="J10" s="95">
        <f>IF(K8="","",K8)</f>
        <v>24</v>
      </c>
      <c r="K10" s="91"/>
      <c r="L10" s="92"/>
      <c r="M10" s="93"/>
      <c r="N10" s="94">
        <f>IF(ISERROR(VLOOKUP($A$4&amp;TEXT($A10,"00")&amp;TEXT(O$4,"00"),Samstag!$B$24:$S$162,16,FALSE)),"",VLOOKUP($A$4&amp;TEXT($A10,"00")&amp;TEXT(O$4,"00"),Samstag!$B$24:$S$162,16,FALSE))</f>
        <v>38</v>
      </c>
      <c r="O10" s="49" t="s">
        <v>15</v>
      </c>
      <c r="P10" s="95">
        <f>IF(ISERROR(VLOOKUP($A$4&amp;TEXT($A10,"00")&amp;TEXT(O$4,"00"),Samstag!$B$24:$S$162,18,FALSE)),"",VLOOKUP($A$4&amp;TEXT($A10,"00")&amp;TEXT(O$4,"00"),Samstag!$B$24:$S$162,18,FALSE))</f>
        <v>23</v>
      </c>
      <c r="Q10" s="94" t="str">
        <f>IF(ISERROR(VLOOKUP($A$4&amp;TEXT($A10,"00")&amp;TEXT(R$4,"00"),Samstag!$B$24:$S$162,16,FALSE)),"",VLOOKUP($A$4&amp;TEXT($A10,"00")&amp;TEXT(R$4,"00"),Samstag!$B$24:$S$162,16,FALSE))</f>
        <v/>
      </c>
      <c r="R10" s="49" t="s">
        <v>15</v>
      </c>
      <c r="S10" s="95" t="str">
        <f>IF(ISERROR(VLOOKUP($A$4&amp;TEXT($A10,"00")&amp;TEXT(R$4,"00"),Samstag!$B$24:$S$162,18,FALSE)),"",VLOOKUP($A$4&amp;TEXT($A10,"00")&amp;TEXT(R$4,"00"),Samstag!$B$24:$S$162,18,FALSE))</f>
        <v/>
      </c>
      <c r="T10" s="96">
        <f>IF(Y11="","",SUM(E10,H10,K10,N10,Q10))</f>
        <v>99</v>
      </c>
      <c r="U10" s="49" t="s">
        <v>15</v>
      </c>
      <c r="V10" s="97">
        <f>IF(Y11="","",SUM(G10,J10,M10,P10,S10))</f>
        <v>75</v>
      </c>
      <c r="W10" s="110">
        <f>IF(Y10="","",RANK(X11,($X$7,$X$9,$X$11,$X$13,$X$15),0))</f>
        <v>2</v>
      </c>
      <c r="X10" s="308"/>
      <c r="Y10" s="99" t="s">
        <v>17</v>
      </c>
      <c r="AB10" s="34">
        <v>3</v>
      </c>
      <c r="AC10" s="100" t="str">
        <f>IF(W10="","",IF($W$6=3,$D$6,IF($W$8=3,$D$8,IF($W$10=3,$D$10,IF($W$12=3,$D$12,IF($W$14=3,$D$14,0))))))</f>
        <v>Berlin</v>
      </c>
    </row>
    <row r="11" spans="1:31" ht="11.1" customHeight="1">
      <c r="C11" s="111"/>
      <c r="D11" s="54"/>
      <c r="E11" s="106">
        <f>IF(OR(E10="",E10=0),"",IF(E10&gt;G10,2,IF(E10&lt;G10,0,1)))</f>
        <v>0</v>
      </c>
      <c r="F11" s="40" t="s">
        <v>16</v>
      </c>
      <c r="G11" s="107">
        <f>IF(OR(G10="",G10=0),"",IF(G10&gt;E10,2,IF(G10&lt;E10,0,1)))</f>
        <v>2</v>
      </c>
      <c r="H11" s="106">
        <f>IF(OR(H10="",H10=0),"",IF(H10&gt;J10,2,IF(H10&lt;J10,0,1)))</f>
        <v>2</v>
      </c>
      <c r="I11" s="40" t="s">
        <v>16</v>
      </c>
      <c r="J11" s="107">
        <f>IF(OR(J10="",J10=0),"",IF(J10&gt;H10,2,IF(J10&lt;H10,0,1)))</f>
        <v>0</v>
      </c>
      <c r="K11" s="103"/>
      <c r="L11" s="104"/>
      <c r="M11" s="105"/>
      <c r="N11" s="106">
        <f>IF(OR(N10="",N10=0),"",IF(N10&gt;P10,2,IF(N10&lt;P10,0,1)))</f>
        <v>2</v>
      </c>
      <c r="O11" s="40" t="s">
        <v>16</v>
      </c>
      <c r="P11" s="107">
        <f>IF(OR(P10="",P10=0),"",IF(P10&gt;N10,2,IF(P10&lt;N10,0,1)))</f>
        <v>0</v>
      </c>
      <c r="Q11" s="106" t="str">
        <f>IF(OR(Q10="",Q10=0),"",IF(Q10&gt;S10,2,IF(Q10&lt;S10,0,1)))</f>
        <v/>
      </c>
      <c r="R11" s="40" t="s">
        <v>16</v>
      </c>
      <c r="S11" s="107" t="str">
        <f>IF(OR(S10="",S10=0),"",IF(S10&gt;Q10,2,IF(S10&lt;Q10,0,1)))</f>
        <v/>
      </c>
      <c r="T11" s="106">
        <f>IF(Y11="","",SUM(E11,H11,K11,N11,Q11))</f>
        <v>4</v>
      </c>
      <c r="U11" s="40" t="s">
        <v>16</v>
      </c>
      <c r="V11" s="107">
        <f>IF(Y11="","",SUM(G11,J11,M11,P11,S11))</f>
        <v>2</v>
      </c>
      <c r="W11" s="108"/>
      <c r="X11" s="309">
        <f>+(T11-V11)+T10/V10+T11</f>
        <v>7.32</v>
      </c>
      <c r="Y11" s="99" t="s">
        <v>17</v>
      </c>
      <c r="AC11" s="100"/>
    </row>
    <row r="12" spans="1:31" ht="15.2" customHeight="1">
      <c r="A12" s="34">
        <v>4</v>
      </c>
      <c r="C12" s="89" t="str">
        <f>IF(Daten!B28="","",Daten!B28)</f>
        <v/>
      </c>
      <c r="D12" s="90" t="str">
        <f>IF(Daten!I28="","",Daten!I28)</f>
        <v>Berlin</v>
      </c>
      <c r="E12" s="94">
        <f>IF(P6="","",P6)</f>
        <v>19</v>
      </c>
      <c r="F12" s="49" t="s">
        <v>15</v>
      </c>
      <c r="G12" s="95">
        <f>IF(N6="","",N6)</f>
        <v>38</v>
      </c>
      <c r="H12" s="94">
        <f>IF(P8="","",P8)</f>
        <v>33</v>
      </c>
      <c r="I12" s="49" t="s">
        <v>15</v>
      </c>
      <c r="J12" s="95">
        <f>IF(N8="","",N8)</f>
        <v>28</v>
      </c>
      <c r="K12" s="94">
        <f>IF(P10="","",P10)</f>
        <v>23</v>
      </c>
      <c r="L12" s="49" t="s">
        <v>15</v>
      </c>
      <c r="M12" s="95">
        <f>IF(N10="","",N10)</f>
        <v>38</v>
      </c>
      <c r="N12" s="91"/>
      <c r="O12" s="92"/>
      <c r="P12" s="93"/>
      <c r="Q12" s="94" t="str">
        <f>IF(ISERROR(VLOOKUP($A$4&amp;TEXT($A12,"00")&amp;TEXT(R$4,"00"),Samstag!$B$24:$S$162,16,FALSE)),"",VLOOKUP($A$4&amp;TEXT($A12,"00")&amp;TEXT(R$4,"00"),Samstag!$B$24:$S$162,16,FALSE))</f>
        <v/>
      </c>
      <c r="R12" s="49" t="s">
        <v>15</v>
      </c>
      <c r="S12" s="95" t="str">
        <f>IF(ISERROR(VLOOKUP($A$4&amp;TEXT($A12,"00")&amp;TEXT(R$4,"00"),Samstag!$B$24:$S$162,18,FALSE)),"",VLOOKUP($A$4&amp;TEXT($A12,"00")&amp;TEXT(R$4,"00"),Samstag!$B$24:$S$162,18,FALSE))</f>
        <v/>
      </c>
      <c r="T12" s="96">
        <f>IF(Y13="","",SUM(E12,H12,K12,N12,Q12))</f>
        <v>75</v>
      </c>
      <c r="U12" s="49" t="s">
        <v>15</v>
      </c>
      <c r="V12" s="97">
        <f>IF(Y13="","",SUM(G12,J12,M12,P12,S12))</f>
        <v>104</v>
      </c>
      <c r="W12" s="110">
        <f>IF(Y12="","",RANK(X13,($X$7,$X$9,$X$11,$X$13,$X$15),0))</f>
        <v>3</v>
      </c>
      <c r="X12" s="308"/>
      <c r="Y12" s="99" t="s">
        <v>17</v>
      </c>
      <c r="AB12" s="34">
        <v>4</v>
      </c>
      <c r="AC12" s="100" t="str">
        <f>IF(W12="","",IF($W$6=4,$D$6,IF($W$8=4,$D$8,IF($W$10=4,$D$10,IF($W$12=4,$D$12,IF($W$14=4,$D$14,0))))))</f>
        <v>Baden</v>
      </c>
    </row>
    <row r="13" spans="1:31" ht="11.1" customHeight="1">
      <c r="C13" s="111"/>
      <c r="D13" s="54"/>
      <c r="E13" s="106">
        <f>IF(OR(E12="",E12=0),"",IF(E12&gt;G12,2,IF(E12&lt;G12,0,1)))</f>
        <v>0</v>
      </c>
      <c r="F13" s="40" t="s">
        <v>16</v>
      </c>
      <c r="G13" s="107">
        <f>IF(OR(G12="",G12=0),"",IF(G12&gt;E12,2,IF(G12&lt;E12,0,1)))</f>
        <v>2</v>
      </c>
      <c r="H13" s="106">
        <f>IF(OR(H12="",H12=0),"",IF(H12&gt;J12,2,IF(H12&lt;J12,0,1)))</f>
        <v>2</v>
      </c>
      <c r="I13" s="40" t="s">
        <v>16</v>
      </c>
      <c r="J13" s="107">
        <f>IF(OR(J12="",J12=0),"",IF(J12&gt;H12,2,IF(J12&lt;H12,0,1)))</f>
        <v>0</v>
      </c>
      <c r="K13" s="106">
        <f>IF(OR(K12="",K12=0),"",IF(K12&gt;M12,2,IF(K12&lt;M12,0,1)))</f>
        <v>0</v>
      </c>
      <c r="L13" s="40" t="s">
        <v>16</v>
      </c>
      <c r="M13" s="107">
        <f>IF(OR(M12="",M12=0),"",IF(M12&gt;K12,2,IF(M12&lt;K12,0,1)))</f>
        <v>2</v>
      </c>
      <c r="N13" s="103"/>
      <c r="O13" s="104"/>
      <c r="P13" s="105"/>
      <c r="Q13" s="106" t="str">
        <f>IF(OR(Q12="",Q12=0),"",IF(Q12&gt;S12,2,IF(Q12&lt;S12,0,1)))</f>
        <v/>
      </c>
      <c r="R13" s="40" t="s">
        <v>16</v>
      </c>
      <c r="S13" s="107" t="str">
        <f>IF(OR(S12="",S12=0),"",IF(S12&gt;Q12,2,IF(S12&lt;Q12,0,1)))</f>
        <v/>
      </c>
      <c r="T13" s="106">
        <f>IF(Y13="","",SUM(E13,H13,K13,N13,Q13))</f>
        <v>2</v>
      </c>
      <c r="U13" s="40" t="s">
        <v>16</v>
      </c>
      <c r="V13" s="107">
        <f>IF(Y13="","",SUM(G13,J13,M13,P13,S13))</f>
        <v>4</v>
      </c>
      <c r="W13" s="108"/>
      <c r="X13" s="309">
        <f>+(T13-V13)+T12/V12+T13</f>
        <v>0.72115384615384626</v>
      </c>
      <c r="Y13" s="99" t="s">
        <v>17</v>
      </c>
      <c r="AC13" s="100"/>
    </row>
    <row r="14" spans="1:31" ht="15.2" customHeight="1">
      <c r="A14" s="34">
        <v>5</v>
      </c>
      <c r="C14" s="89" t="str">
        <f>IF(Daten!B29="","",Daten!B29)</f>
        <v/>
      </c>
      <c r="D14" s="90" t="str">
        <f>IF(Daten!I29="","",Daten!I29)</f>
        <v/>
      </c>
      <c r="E14" s="94" t="str">
        <f>IF(S6="","",S6)</f>
        <v/>
      </c>
      <c r="F14" s="49" t="s">
        <v>15</v>
      </c>
      <c r="G14" s="95" t="str">
        <f>IF(Q6="","",Q6)</f>
        <v/>
      </c>
      <c r="H14" s="94" t="str">
        <f>IF(S8="","",S8)</f>
        <v/>
      </c>
      <c r="I14" s="49" t="s">
        <v>15</v>
      </c>
      <c r="J14" s="95" t="str">
        <f>IF(Q8="","",Q8)</f>
        <v/>
      </c>
      <c r="K14" s="94" t="str">
        <f>IF(S10="","",S10)</f>
        <v/>
      </c>
      <c r="L14" s="49" t="s">
        <v>15</v>
      </c>
      <c r="M14" s="95" t="str">
        <f>IF(Q10="","",Q10)</f>
        <v/>
      </c>
      <c r="N14" s="94" t="str">
        <f>IF(S12="","",S12)</f>
        <v/>
      </c>
      <c r="O14" s="49" t="s">
        <v>15</v>
      </c>
      <c r="P14" s="95" t="str">
        <f>IF(Q12="","",Q12)</f>
        <v/>
      </c>
      <c r="Q14" s="91"/>
      <c r="R14" s="92"/>
      <c r="S14" s="93"/>
      <c r="T14" s="96" t="str">
        <f>IF(Y15="","",SUM(E14,H14,K14,N14,Q14))</f>
        <v/>
      </c>
      <c r="U14" s="49" t="s">
        <v>15</v>
      </c>
      <c r="V14" s="97" t="str">
        <f>IF(Y15="","",SUM(G14,J14,M14,P14,S14))</f>
        <v/>
      </c>
      <c r="W14" s="110" t="str">
        <f>IF(Y14="","",RANK(X15,($X$7,$X$9,$X$11,$X$13,$X$15),0))</f>
        <v/>
      </c>
      <c r="X14" s="308"/>
      <c r="Y14" s="99"/>
      <c r="AB14" s="34">
        <v>5</v>
      </c>
      <c r="AC14" s="100" t="str">
        <f>IF(W14="","",IF($W$6=5,$D$6,IF($W$8=5,$D$8,IF($W$10=5,$D$10,IF($W$12=5,$D$12,IF($W$14=5,$D$14,0))))))</f>
        <v/>
      </c>
    </row>
    <row r="15" spans="1:31" ht="11.1" customHeight="1">
      <c r="C15" s="111"/>
      <c r="D15" s="112"/>
      <c r="E15" s="106" t="str">
        <f>IF(OR(E14="",E14=0),"",IF(E14&gt;G14,2,IF(E14&lt;G14,0,1)))</f>
        <v/>
      </c>
      <c r="F15" s="40" t="s">
        <v>16</v>
      </c>
      <c r="G15" s="107" t="str">
        <f>IF(OR(G14="",G14=0),"",IF(G14&gt;E14,2,IF(G14&lt;E14,0,1)))</f>
        <v/>
      </c>
      <c r="H15" s="106" t="str">
        <f>IF(OR(H14="",H14=0),"",IF(H14&gt;J14,2,IF(H14&lt;J14,0,1)))</f>
        <v/>
      </c>
      <c r="I15" s="40" t="s">
        <v>16</v>
      </c>
      <c r="J15" s="107" t="str">
        <f>IF(OR(J14="",J14=0),"",IF(J14&gt;H14,2,IF(J14&lt;H14,0,1)))</f>
        <v/>
      </c>
      <c r="K15" s="106" t="str">
        <f>IF(OR(K14="",K14=0),"",IF(K14&gt;M14,2,IF(K14&lt;M14,0,1)))</f>
        <v/>
      </c>
      <c r="L15" s="40" t="s">
        <v>16</v>
      </c>
      <c r="M15" s="107" t="str">
        <f>IF(OR(M14="",M14=0),"",IF(M14&gt;K14,2,IF(M14&lt;K14,0,1)))</f>
        <v/>
      </c>
      <c r="N15" s="106" t="str">
        <f>IF(OR(N14="",N14=0),"",IF(N14&gt;P14,2,IF(N14&lt;P14,0,1)))</f>
        <v/>
      </c>
      <c r="O15" s="40" t="s">
        <v>16</v>
      </c>
      <c r="P15" s="107" t="str">
        <f>IF(OR(P14="",P14=0),"",IF(P14&gt;N14,2,IF(P14&lt;N14,0,1)))</f>
        <v/>
      </c>
      <c r="Q15" s="103"/>
      <c r="R15" s="104"/>
      <c r="S15" s="105"/>
      <c r="T15" s="106" t="str">
        <f>IF(Y15="","",SUM(E15,H15,K15,N15,Q15))</f>
        <v/>
      </c>
      <c r="U15" s="40" t="s">
        <v>16</v>
      </c>
      <c r="V15" s="107" t="str">
        <f>IF(Y15="","",SUM(G15,J15,M15,P15,S15))</f>
        <v/>
      </c>
      <c r="W15" s="108"/>
      <c r="X15" s="309"/>
      <c r="Y15" s="99"/>
    </row>
    <row r="16" spans="1:31" ht="10.15" customHeight="1">
      <c r="C16" s="113"/>
      <c r="D16" s="113"/>
      <c r="E16" s="114"/>
      <c r="F16" s="49"/>
      <c r="G16" s="115"/>
      <c r="H16" s="114"/>
      <c r="I16" s="49"/>
      <c r="J16" s="115"/>
      <c r="K16" s="114"/>
      <c r="L16" s="49"/>
      <c r="M16" s="115"/>
      <c r="N16" s="114"/>
      <c r="O16" s="49"/>
      <c r="P16" s="115"/>
      <c r="Q16" s="116"/>
      <c r="R16" s="116"/>
      <c r="S16" s="116"/>
      <c r="T16" s="114"/>
      <c r="U16" s="49"/>
      <c r="V16" s="115"/>
      <c r="W16" s="117"/>
      <c r="X16" s="309"/>
      <c r="Y16" s="99"/>
    </row>
    <row r="17" spans="1:46" ht="10.15" hidden="1" customHeight="1" outlineLevel="1">
      <c r="C17" s="118" t="s">
        <v>18</v>
      </c>
      <c r="D17" s="119" t="str">
        <f>+D6</f>
        <v>Bremen</v>
      </c>
      <c r="E17" s="120"/>
      <c r="F17" s="121"/>
      <c r="G17" s="122"/>
      <c r="H17" s="123"/>
      <c r="I17" s="124" t="s">
        <v>15</v>
      </c>
      <c r="J17" s="125"/>
      <c r="K17" s="123"/>
      <c r="L17" s="124" t="s">
        <v>15</v>
      </c>
      <c r="M17" s="125"/>
      <c r="N17" s="123"/>
      <c r="O17" s="124" t="s">
        <v>15</v>
      </c>
      <c r="P17" s="125"/>
      <c r="Q17" s="126"/>
      <c r="R17" s="124" t="s">
        <v>15</v>
      </c>
      <c r="S17" s="127"/>
      <c r="T17" s="37"/>
      <c r="U17" s="38"/>
      <c r="V17" s="42"/>
      <c r="W17" s="41"/>
      <c r="X17" s="309"/>
      <c r="Y17" s="99"/>
    </row>
    <row r="18" spans="1:46" ht="10.15" hidden="1" customHeight="1" outlineLevel="1">
      <c r="C18" s="128"/>
      <c r="D18" s="119" t="str">
        <f>+D8</f>
        <v>Baden</v>
      </c>
      <c r="E18" s="123" t="str">
        <f>IF(J17="","",J17)</f>
        <v/>
      </c>
      <c r="F18" s="124" t="s">
        <v>15</v>
      </c>
      <c r="G18" s="125" t="str">
        <f>IF(H17="","",H17)</f>
        <v/>
      </c>
      <c r="H18" s="120"/>
      <c r="I18" s="121"/>
      <c r="J18" s="122"/>
      <c r="K18" s="123"/>
      <c r="L18" s="124" t="s">
        <v>15</v>
      </c>
      <c r="M18" s="125"/>
      <c r="N18" s="123"/>
      <c r="O18" s="124" t="s">
        <v>15</v>
      </c>
      <c r="P18" s="125"/>
      <c r="Q18" s="126"/>
      <c r="R18" s="124" t="s">
        <v>15</v>
      </c>
      <c r="S18" s="127"/>
      <c r="T18" s="37"/>
      <c r="U18" s="38"/>
      <c r="V18" s="42"/>
      <c r="W18" s="41"/>
      <c r="X18" s="309"/>
      <c r="Y18" s="99"/>
    </row>
    <row r="19" spans="1:46" ht="10.15" hidden="1" customHeight="1" outlineLevel="1">
      <c r="C19" s="128"/>
      <c r="D19" s="119" t="str">
        <f>+D10</f>
        <v>Rheinland</v>
      </c>
      <c r="E19" s="123" t="str">
        <f>IF(M17="","",M17)</f>
        <v/>
      </c>
      <c r="F19" s="124" t="s">
        <v>15</v>
      </c>
      <c r="G19" s="125" t="str">
        <f>IF(K17="","",K17)</f>
        <v/>
      </c>
      <c r="H19" s="123" t="str">
        <f>IF(M18="","",M18)</f>
        <v/>
      </c>
      <c r="I19" s="124" t="s">
        <v>15</v>
      </c>
      <c r="J19" s="125" t="str">
        <f>IF(K18="","",K18)</f>
        <v/>
      </c>
      <c r="K19" s="120"/>
      <c r="L19" s="121"/>
      <c r="M19" s="122"/>
      <c r="N19" s="123"/>
      <c r="O19" s="124" t="s">
        <v>15</v>
      </c>
      <c r="P19" s="125"/>
      <c r="Q19" s="126"/>
      <c r="R19" s="124" t="s">
        <v>15</v>
      </c>
      <c r="S19" s="127"/>
      <c r="T19" s="37"/>
      <c r="U19" s="38"/>
      <c r="V19" s="42"/>
      <c r="W19" s="41"/>
      <c r="X19" s="309"/>
      <c r="Y19" s="99"/>
    </row>
    <row r="20" spans="1:46" ht="10.15" hidden="1" customHeight="1" outlineLevel="1">
      <c r="C20" s="128"/>
      <c r="D20" s="119" t="str">
        <f>+D12</f>
        <v>Berlin</v>
      </c>
      <c r="E20" s="123" t="str">
        <f>IF(P17="","",P17)</f>
        <v/>
      </c>
      <c r="F20" s="124" t="s">
        <v>15</v>
      </c>
      <c r="G20" s="125" t="str">
        <f>IF(N17="","",N17)</f>
        <v/>
      </c>
      <c r="H20" s="123" t="str">
        <f>IF(P18="","",P18)</f>
        <v/>
      </c>
      <c r="I20" s="124" t="s">
        <v>15</v>
      </c>
      <c r="J20" s="125" t="str">
        <f>IF(N18="","",N18)</f>
        <v/>
      </c>
      <c r="K20" s="123" t="str">
        <f>IF(P19="","",P19)</f>
        <v/>
      </c>
      <c r="L20" s="124" t="s">
        <v>15</v>
      </c>
      <c r="M20" s="125" t="str">
        <f>IF(N19="","",N19)</f>
        <v/>
      </c>
      <c r="N20" s="120"/>
      <c r="O20" s="121"/>
      <c r="P20" s="122"/>
      <c r="Q20" s="126"/>
      <c r="R20" s="124" t="s">
        <v>15</v>
      </c>
      <c r="S20" s="127"/>
      <c r="T20" s="37"/>
      <c r="U20" s="38"/>
      <c r="V20" s="42"/>
      <c r="W20" s="41"/>
      <c r="X20" s="309"/>
      <c r="Y20" s="99"/>
    </row>
    <row r="21" spans="1:46" ht="10.15" hidden="1" customHeight="1" outlineLevel="1">
      <c r="C21" s="128"/>
      <c r="D21" s="119" t="str">
        <f>+D14</f>
        <v/>
      </c>
      <c r="E21" s="123" t="str">
        <f>IF(S17="","",S17)</f>
        <v/>
      </c>
      <c r="F21" s="124" t="s">
        <v>15</v>
      </c>
      <c r="G21" s="125" t="str">
        <f>IF(Q17="","",Q17)</f>
        <v/>
      </c>
      <c r="H21" s="123" t="str">
        <f>IF(S18="","",S18)</f>
        <v/>
      </c>
      <c r="I21" s="124" t="s">
        <v>15</v>
      </c>
      <c r="J21" s="125" t="str">
        <f>IF(Q18="","",Q18)</f>
        <v/>
      </c>
      <c r="K21" s="123" t="str">
        <f>IF(S19="","",S19)</f>
        <v/>
      </c>
      <c r="L21" s="124" t="s">
        <v>15</v>
      </c>
      <c r="M21" s="125" t="str">
        <f>IF(Q19="","",Q19)</f>
        <v/>
      </c>
      <c r="N21" s="123" t="str">
        <f>IF(S20="","",S20)</f>
        <v/>
      </c>
      <c r="O21" s="124" t="s">
        <v>15</v>
      </c>
      <c r="P21" s="125" t="str">
        <f>IF(Q20="","",Q20)</f>
        <v/>
      </c>
      <c r="Q21" s="120"/>
      <c r="R21" s="129"/>
      <c r="S21" s="122"/>
      <c r="T21" s="37"/>
      <c r="U21" s="38"/>
      <c r="V21" s="42"/>
      <c r="W21" s="41"/>
      <c r="X21" s="309"/>
      <c r="Y21" s="99"/>
    </row>
    <row r="22" spans="1:46" collapsed="1">
      <c r="X22" s="308"/>
    </row>
    <row r="23" spans="1:46" ht="21.75" customHeight="1">
      <c r="C23" s="74"/>
      <c r="D23" s="75"/>
      <c r="E23" s="70"/>
      <c r="F23" s="130">
        <v>11</v>
      </c>
      <c r="G23" s="131"/>
      <c r="H23" s="130"/>
      <c r="I23" s="130">
        <v>12</v>
      </c>
      <c r="J23" s="130"/>
      <c r="K23" s="130"/>
      <c r="L23" s="130">
        <v>13</v>
      </c>
      <c r="M23" s="130"/>
      <c r="N23" s="130"/>
      <c r="O23" s="130">
        <v>14</v>
      </c>
      <c r="P23" s="130"/>
      <c r="Q23" s="130"/>
      <c r="R23" s="130">
        <v>15</v>
      </c>
      <c r="S23" s="132"/>
      <c r="T23" s="75"/>
      <c r="U23" s="75"/>
      <c r="V23" s="75"/>
      <c r="W23" s="75"/>
      <c r="X23" s="308"/>
    </row>
    <row r="24" spans="1:46" ht="12.75" customHeight="1" collapsed="1">
      <c r="C24" s="84"/>
      <c r="D24" s="83" t="str">
        <f>+Daten!L24</f>
        <v>Gruppe F</v>
      </c>
      <c r="E24" s="81"/>
      <c r="F24" s="79" t="str">
        <f>+D25</f>
        <v>Westfalen</v>
      </c>
      <c r="G24" s="87"/>
      <c r="H24" s="81"/>
      <c r="I24" s="79" t="str">
        <f>+D27</f>
        <v>Schwaben</v>
      </c>
      <c r="J24" s="87"/>
      <c r="K24" s="81"/>
      <c r="L24" s="79" t="str">
        <f>+D29</f>
        <v>Pfalz</v>
      </c>
      <c r="M24" s="87"/>
      <c r="N24" s="81"/>
      <c r="O24" s="79" t="str">
        <f>+D31</f>
        <v>Niedersachsen</v>
      </c>
      <c r="P24" s="87"/>
      <c r="Q24" s="81"/>
      <c r="R24" s="79" t="str">
        <f>+D33</f>
        <v/>
      </c>
      <c r="S24" s="87"/>
      <c r="T24" s="81"/>
      <c r="U24" s="86" t="s">
        <v>12</v>
      </c>
      <c r="V24" s="87"/>
      <c r="W24" s="88" t="s">
        <v>13</v>
      </c>
      <c r="X24" s="308"/>
    </row>
    <row r="25" spans="1:46" ht="15.2" customHeight="1">
      <c r="A25" s="34">
        <v>11</v>
      </c>
      <c r="C25" s="89" t="str">
        <f>IF(Daten!E25="","",Daten!E25)</f>
        <v/>
      </c>
      <c r="D25" s="90" t="str">
        <f>IF(Daten!L25="","",Daten!L25)</f>
        <v>Westfalen</v>
      </c>
      <c r="E25" s="91"/>
      <c r="F25" s="92"/>
      <c r="G25" s="93"/>
      <c r="H25" s="94">
        <f>IF(ISERROR(VLOOKUP($A$4&amp;TEXT($A25,"00")&amp;TEXT(I$23,"00"),Samstag!$B$24:$T$162,16,FALSE)),"",VLOOKUP($A$4&amp;TEXT($A25,"00")&amp;TEXT(I$23,"00"),Samstag!$B$24:$T$162,16,FALSE))</f>
        <v>38</v>
      </c>
      <c r="I25" s="49" t="s">
        <v>15</v>
      </c>
      <c r="J25" s="95">
        <f>IF(ISERROR(VLOOKUP($A$4&amp;TEXT($A25,"00")&amp;TEXT(I$23,"00"),Samstag!$B$24:$T$162,18,FALSE)),"",VLOOKUP($A$4&amp;TEXT($A25,"00")&amp;TEXT(I$23,"00"),Samstag!$B$24:$T$162,18,FALSE))</f>
        <v>33</v>
      </c>
      <c r="K25" s="94">
        <f>IF(ISERROR(VLOOKUP($A$4&amp;TEXT($A25,"00")&amp;TEXT(L$23,"00"),Samstag!$B$24:$T$162,16,FALSE)),"",VLOOKUP($A$4&amp;TEXT($A25,"00")&amp;TEXT(L$23,"00"),Samstag!$B$24:$T$162,16,FALSE))</f>
        <v>35</v>
      </c>
      <c r="L25" s="49" t="s">
        <v>15</v>
      </c>
      <c r="M25" s="95">
        <f>IF(ISERROR(VLOOKUP($A$4&amp;TEXT($A25,"00")&amp;TEXT(L$23,"00"),Samstag!$B$24:$T$162,18,FALSE)),"",VLOOKUP($A$4&amp;TEXT($A25,"00")&amp;TEXT(L$23,"00"),Samstag!$B$24:$T$162,18,FALSE))</f>
        <v>33</v>
      </c>
      <c r="N25" s="94">
        <f>IF(ISERROR(VLOOKUP($A$4&amp;TEXT($A25,"00")&amp;TEXT(O$23,"00"),Samstag!$B$24:$T$162,16,FALSE)),"",VLOOKUP($A$4&amp;TEXT($A25,"00")&amp;TEXT(O$23,"00"),Samstag!$B$24:$T$162,16,FALSE))</f>
        <v>25</v>
      </c>
      <c r="O25" s="49" t="s">
        <v>15</v>
      </c>
      <c r="P25" s="95">
        <f>IF(ISERROR(VLOOKUP($A$4&amp;TEXT($A25,"00")&amp;TEXT(O$23,"00"),Samstag!$B$24:$T$162,18,FALSE)),"",VLOOKUP($A$4&amp;TEXT($A25,"00")&amp;TEXT(O$23,"00"),Samstag!$B$24:$T$162,18,FALSE))</f>
        <v>37</v>
      </c>
      <c r="Q25" s="94" t="str">
        <f>IF(ISERROR(VLOOKUP($A$4&amp;TEXT($A25,"00")&amp;TEXT(R$23,"00"),Samstag!$B$24:$T$162,16,FALSE)),"",VLOOKUP($A$4&amp;TEXT($A25,"00")&amp;TEXT(R$23,"00"),Samstag!$B$24:$T$162,16,FALSE))</f>
        <v/>
      </c>
      <c r="R25" s="49" t="s">
        <v>15</v>
      </c>
      <c r="S25" s="95" t="str">
        <f>IF(ISERROR(VLOOKUP($A$4&amp;TEXT($A25,"00")&amp;TEXT(R$23,"00"),Samstag!$B$24:$T$162,18,FALSE)),"",VLOOKUP($A$4&amp;TEXT($A25,"00")&amp;TEXT(R$23,"00"),Samstag!$B$24:$T$162,18,FALSE))</f>
        <v/>
      </c>
      <c r="T25" s="96">
        <f>IF(Y26="","",SUM(E25,H25,K25,N25,Q25))</f>
        <v>98</v>
      </c>
      <c r="U25" s="49" t="s">
        <v>15</v>
      </c>
      <c r="V25" s="97">
        <f>IF(Y26="","",SUM(G25,J25,M25,P25,S25))</f>
        <v>103</v>
      </c>
      <c r="W25" s="110">
        <f>IF(Y25="","",RANK(X26,($X$26,$X$28,$X$30,$X$32,$X$34),0))</f>
        <v>2</v>
      </c>
      <c r="X25" s="308"/>
      <c r="Y25" s="99" t="s">
        <v>17</v>
      </c>
      <c r="AB25" s="34">
        <v>1</v>
      </c>
      <c r="AC25" s="34" t="str">
        <f>IF(W25="","",IF($W$25=1,$D$25,IF($W$27=1,$D$27,IF($W$29=1,$D$29,IF($W$31=1,$D$31,IF($W$33=1,$D$33,0))))))</f>
        <v>Niedersachsen</v>
      </c>
    </row>
    <row r="26" spans="1:46" ht="11.1" customHeight="1">
      <c r="C26" s="133"/>
      <c r="D26" s="134"/>
      <c r="E26" s="103"/>
      <c r="F26" s="104"/>
      <c r="G26" s="105"/>
      <c r="H26" s="106">
        <f>IF(OR(H25="",H25=0),"",IF(H25&gt;J25,2,IF(H25&lt;J25,0,1)))</f>
        <v>2</v>
      </c>
      <c r="I26" s="40" t="s">
        <v>16</v>
      </c>
      <c r="J26" s="107">
        <f>IF(OR(J25="",J25=0),"",IF(J25&gt;H25,2,IF(J25&lt;H25,0,1)))</f>
        <v>0</v>
      </c>
      <c r="K26" s="106">
        <f>IF(OR(K25="",K25=0),"",IF(K25&gt;M25,2,IF(K25&lt;M25,0,1)))</f>
        <v>2</v>
      </c>
      <c r="L26" s="40" t="s">
        <v>16</v>
      </c>
      <c r="M26" s="107">
        <f>IF(OR(M25="",M25=0),"",IF(M25&gt;K25,2,IF(M25&lt;K25,0,1)))</f>
        <v>0</v>
      </c>
      <c r="N26" s="106">
        <f>IF(OR(N25="",N25=0),"",IF(N25&gt;P25,2,IF(N25&lt;P25,0,1)))</f>
        <v>0</v>
      </c>
      <c r="O26" s="40" t="s">
        <v>16</v>
      </c>
      <c r="P26" s="107">
        <f>IF(OR(P25="",P25=0),"",IF(P25&gt;N25,2,IF(P25&lt;N25,0,1)))</f>
        <v>2</v>
      </c>
      <c r="Q26" s="106" t="str">
        <f>IF(OR(Q25="",Q25=0),"",IF(Q25&gt;S25,2,IF(Q25&lt;S25,0,1)))</f>
        <v/>
      </c>
      <c r="R26" s="40" t="s">
        <v>16</v>
      </c>
      <c r="S26" s="107" t="str">
        <f>IF(OR(S25="",S25=0),"",IF(S25&gt;Q25,2,IF(S25&lt;Q25,0,1)))</f>
        <v/>
      </c>
      <c r="T26" s="106">
        <f>IF(Y26="","",SUM(E26,H26,K26,N26,Q26))</f>
        <v>4</v>
      </c>
      <c r="U26" s="40" t="s">
        <v>16</v>
      </c>
      <c r="V26" s="107">
        <f>IF(Y26="","",SUM(G26,J26,M26,P26,S26))</f>
        <v>2</v>
      </c>
      <c r="W26" s="108"/>
      <c r="X26" s="309">
        <f>+(T26-V26)+T25/V25+T26</f>
        <v>6.9514563106796121</v>
      </c>
      <c r="Y26" s="99" t="s">
        <v>17</v>
      </c>
    </row>
    <row r="27" spans="1:46" ht="15.2" customHeight="1">
      <c r="A27" s="34">
        <v>12</v>
      </c>
      <c r="C27" s="89" t="str">
        <f>IF(Daten!E26="","",Daten!E26)</f>
        <v/>
      </c>
      <c r="D27" s="90" t="str">
        <f>IF(Daten!L26="","",Daten!L26)</f>
        <v>Schwaben</v>
      </c>
      <c r="E27" s="94">
        <f>IF(J25="","",J25)</f>
        <v>33</v>
      </c>
      <c r="F27" s="49" t="s">
        <v>15</v>
      </c>
      <c r="G27" s="95">
        <f>IF(H25="","",H25)</f>
        <v>38</v>
      </c>
      <c r="H27" s="91"/>
      <c r="I27" s="92"/>
      <c r="J27" s="93"/>
      <c r="K27" s="94">
        <f>IF(ISERROR(VLOOKUP($A$4&amp;TEXT($A27,"00")&amp;TEXT(L$23,"00"),Samstag!$B$24:$T$162,16,FALSE)),"",VLOOKUP($A$4&amp;TEXT($A27,"00")&amp;TEXT(L$23,"00"),Samstag!$B$24:$T$162,16,FALSE))</f>
        <v>32</v>
      </c>
      <c r="L27" s="49" t="s">
        <v>15</v>
      </c>
      <c r="M27" s="95">
        <f>IF(ISERROR(VLOOKUP($A$4&amp;TEXT($A27,"00")&amp;TEXT(L$23,"00"),Samstag!$B$24:$T$162,18,FALSE)),"",VLOOKUP($A$4&amp;TEXT($A27,"00")&amp;TEXT(L$23,"00"),Samstag!$B$24:$T$162,18,FALSE))</f>
        <v>36</v>
      </c>
      <c r="N27" s="94">
        <f>IF(ISERROR(VLOOKUP($A$4&amp;TEXT($A27,"00")&amp;TEXT(O$23,"00"),Samstag!$B$24:$T$162,16,FALSE)),"",VLOOKUP($A$4&amp;TEXT($A27,"00")&amp;TEXT(O$23,"00"),Samstag!$B$24:$T$162,16,FALSE))</f>
        <v>20</v>
      </c>
      <c r="O27" s="49" t="s">
        <v>15</v>
      </c>
      <c r="P27" s="95">
        <f>IF(ISERROR(VLOOKUP($A$4&amp;TEXT($A27,"00")&amp;TEXT(O$23,"00"),Samstag!$B$24:$T$162,18,FALSE)),"",VLOOKUP($A$4&amp;TEXT($A27,"00")&amp;TEXT(O$23,"00"),Samstag!$B$24:$T$162,18,FALSE))</f>
        <v>45</v>
      </c>
      <c r="Q27" s="94" t="str">
        <f>IF(ISERROR(VLOOKUP($A$4&amp;TEXT($A27,"00")&amp;TEXT(R$23,"00"),Samstag!$B$24:$T$162,16,FALSE)),"",VLOOKUP($A$4&amp;TEXT($A27,"00")&amp;TEXT(R$23,"00"),Samstag!$B$24:$T$162,16,FALSE))</f>
        <v/>
      </c>
      <c r="R27" s="49" t="s">
        <v>15</v>
      </c>
      <c r="S27" s="95" t="str">
        <f>IF(ISERROR(VLOOKUP($A$4&amp;TEXT($A27,"00")&amp;TEXT(R$23,"00"),Samstag!$B$24:$T$162,18,FALSE)),"",VLOOKUP($A$4&amp;TEXT($A27,"00")&amp;TEXT(R$23,"00"),Samstag!$B$24:$T$162,18,FALSE))</f>
        <v/>
      </c>
      <c r="T27" s="96">
        <f>IF(Y28="","",SUM(E27,H27,K27,N27,Q27))</f>
        <v>85</v>
      </c>
      <c r="U27" s="49" t="s">
        <v>15</v>
      </c>
      <c r="V27" s="97">
        <f>IF(Y28="","",SUM(G27,J27,M27,P27,S27))</f>
        <v>119</v>
      </c>
      <c r="W27" s="110">
        <f>IF(Y27="","",RANK(X28,($X$26,$X$28,$X$30,$X$32,$X$34),0))</f>
        <v>4</v>
      </c>
      <c r="X27" s="308"/>
      <c r="Y27" s="99" t="s">
        <v>17</v>
      </c>
      <c r="AB27" s="34">
        <v>2</v>
      </c>
      <c r="AC27" s="34" t="str">
        <f>IF(W27="","",IF($W$25=2,$D$25,IF($W$27=2,$D$27,IF($W$29=2,$D$29,IF($W$31=2,$D$31,IF($W$33=2,$D$33,0))))))</f>
        <v>Westfalen</v>
      </c>
    </row>
    <row r="28" spans="1:46" ht="11.1" customHeight="1">
      <c r="C28" s="133"/>
      <c r="D28" s="134"/>
      <c r="E28" s="106">
        <f>IF(OR(E27="",E27=0),"",IF(E27&gt;G27,2,IF(E27&lt;G27,0,1)))</f>
        <v>0</v>
      </c>
      <c r="F28" s="40" t="s">
        <v>16</v>
      </c>
      <c r="G28" s="107">
        <f>IF(OR(G27="",G27=0),"",IF(G27&gt;E27,2,IF(G27&lt;E27,0,1)))</f>
        <v>2</v>
      </c>
      <c r="H28" s="103"/>
      <c r="I28" s="104"/>
      <c r="J28" s="105"/>
      <c r="K28" s="106">
        <f>IF(OR(K27="",K27=0),"",IF(K27&gt;M27,2,IF(K27&lt;M27,0,1)))</f>
        <v>0</v>
      </c>
      <c r="L28" s="40" t="s">
        <v>16</v>
      </c>
      <c r="M28" s="107">
        <f>IF(OR(M27="",M27=0),"",IF(M27&gt;K27,2,IF(M27&lt;K27,0,1)))</f>
        <v>2</v>
      </c>
      <c r="N28" s="106">
        <f>IF(OR(N27="",N27=0),"",IF(N27&gt;P27,2,IF(N27&lt;P27,0,1)))</f>
        <v>0</v>
      </c>
      <c r="O28" s="40" t="s">
        <v>16</v>
      </c>
      <c r="P28" s="107">
        <f>IF(OR(P27="",P27=0),"",IF(P27&gt;N27,2,IF(P27&lt;N27,0,1)))</f>
        <v>2</v>
      </c>
      <c r="Q28" s="106" t="str">
        <f>IF(OR(Q27="",Q27=0),"",IF(Q27&gt;S27,2,IF(Q27&lt;S27,0,1)))</f>
        <v/>
      </c>
      <c r="R28" s="40" t="s">
        <v>16</v>
      </c>
      <c r="S28" s="107" t="str">
        <f>IF(OR(S27="",S27=0),"",IF(S27&gt;Q27,2,IF(S27&lt;Q27,0,1)))</f>
        <v/>
      </c>
      <c r="T28" s="106">
        <f>IF(Y28="","",SUM(E28,H28,K28,N28,Q28))</f>
        <v>0</v>
      </c>
      <c r="U28" s="40" t="s">
        <v>16</v>
      </c>
      <c r="V28" s="107">
        <f>IF(Y28="","",SUM(G28,J28,M28,P28,S28))</f>
        <v>6</v>
      </c>
      <c r="W28" s="108"/>
      <c r="X28" s="309">
        <f>+(T28-V28)+T27/V27+T28</f>
        <v>-5.2857142857142856</v>
      </c>
      <c r="Y28" s="99" t="s">
        <v>17</v>
      </c>
    </row>
    <row r="29" spans="1:46" ht="15.2" customHeight="1">
      <c r="A29" s="34">
        <v>13</v>
      </c>
      <c r="C29" s="89" t="str">
        <f>IF(Daten!E27="","",Daten!E27)</f>
        <v/>
      </c>
      <c r="D29" s="90" t="str">
        <f>IF(Daten!L27="","",Daten!L27)</f>
        <v>Pfalz</v>
      </c>
      <c r="E29" s="94">
        <f>IF(M25="","",M25)</f>
        <v>33</v>
      </c>
      <c r="F29" s="49" t="s">
        <v>15</v>
      </c>
      <c r="G29" s="95">
        <f>IF(K25="","",K25)</f>
        <v>35</v>
      </c>
      <c r="H29" s="94">
        <f>IF(M27="","",M27)</f>
        <v>36</v>
      </c>
      <c r="I29" s="49" t="s">
        <v>15</v>
      </c>
      <c r="J29" s="95">
        <f>IF(K27="","",K27)</f>
        <v>32</v>
      </c>
      <c r="K29" s="91"/>
      <c r="L29" s="92"/>
      <c r="M29" s="93"/>
      <c r="N29" s="94">
        <f>IF(ISERROR(VLOOKUP($A$4&amp;TEXT($A29,"00")&amp;TEXT(O$23,"00"),Samstag!$B$24:$T$162,16,FALSE)),"",VLOOKUP($A$4&amp;TEXT($A29,"00")&amp;TEXT(O$23,"00"),Samstag!$B$24:$T$162,16,FALSE))</f>
        <v>15</v>
      </c>
      <c r="O29" s="49" t="s">
        <v>15</v>
      </c>
      <c r="P29" s="95">
        <f>IF(ISERROR(VLOOKUP($A$4&amp;TEXT($A29,"00")&amp;TEXT(O$23,"00"),Samstag!$B$24:$T$162,18,FALSE)),"",VLOOKUP($A$4&amp;TEXT($A29,"00")&amp;TEXT(O$23,"00"),Samstag!$B$24:$T$162,18,FALSE))</f>
        <v>46</v>
      </c>
      <c r="Q29" s="94" t="str">
        <f>IF(ISERROR(VLOOKUP($A$4&amp;TEXT($A29,"00")&amp;TEXT(R$23,"00"),Samstag!$B$24:$T$162,16,FALSE)),"",VLOOKUP($A$4&amp;TEXT($A29,"00")&amp;TEXT(R$23,"00"),Samstag!$B$24:$T$162,16,FALSE))</f>
        <v/>
      </c>
      <c r="R29" s="49" t="s">
        <v>15</v>
      </c>
      <c r="S29" s="95" t="str">
        <f>IF(ISERROR(VLOOKUP($A$4&amp;TEXT($A29,"00")&amp;TEXT(R$23,"00"),Samstag!$B$24:$T$162,18,FALSE)),"",VLOOKUP($A$4&amp;TEXT($A29,"00")&amp;TEXT(R$23,"00"),Samstag!$B$24:$T$162,18,FALSE))</f>
        <v/>
      </c>
      <c r="T29" s="96">
        <f>IF(Y30="","",SUM(E29,H29,K29,N29,Q29))</f>
        <v>84</v>
      </c>
      <c r="U29" s="49" t="s">
        <v>15</v>
      </c>
      <c r="V29" s="97">
        <f>IF(Y30="","",SUM(G29,J29,M29,P29,S29))</f>
        <v>113</v>
      </c>
      <c r="W29" s="110">
        <f>IF(Y29="","",RANK(X30,($X$26,$X$28,$X$30,$X$32,$X$34),0))</f>
        <v>3</v>
      </c>
      <c r="X29" s="308"/>
      <c r="Y29" s="99" t="s">
        <v>17</v>
      </c>
      <c r="AB29" s="34">
        <v>3</v>
      </c>
      <c r="AC29" s="34" t="str">
        <f>IF(W29="","",IF($W$25=3,$D$25,IF($W$27=3,$D$27,IF($W$29=3,$D$29,IF($W$31=3,$D$31,IF($W$33=3,$D$33,0))))))</f>
        <v>Pfalz</v>
      </c>
      <c r="AD29" s="190">
        <v>1</v>
      </c>
      <c r="AE29" s="191" t="str">
        <f>+AC12</f>
        <v>Baden</v>
      </c>
      <c r="AF29" s="192"/>
      <c r="AG29" s="179"/>
      <c r="AH29" s="193"/>
      <c r="AI29" s="190">
        <f>+K42</f>
        <v>34</v>
      </c>
      <c r="AJ29" s="49" t="s">
        <v>15</v>
      </c>
      <c r="AK29" s="191">
        <f>+M42</f>
        <v>29</v>
      </c>
      <c r="AL29" s="190">
        <f>+M44</f>
        <v>35</v>
      </c>
      <c r="AM29" s="49" t="s">
        <v>15</v>
      </c>
      <c r="AN29" s="191">
        <f>+K44</f>
        <v>23</v>
      </c>
      <c r="AO29" s="96">
        <f>IF(AT30="","",SUM(AF29,AI29,AL29))</f>
        <v>69</v>
      </c>
      <c r="AP29" s="49" t="s">
        <v>15</v>
      </c>
      <c r="AQ29" s="97">
        <f>IF(AT30="","",SUM(AH29,AK29,AN29))</f>
        <v>52</v>
      </c>
      <c r="AR29" s="110">
        <f>IF(AT29="","",RANK(AS30,($AS$30,$AS$32,$AS$34),0))</f>
        <v>1</v>
      </c>
      <c r="AT29" s="34" t="s">
        <v>17</v>
      </c>
    </row>
    <row r="30" spans="1:46" ht="11.1" customHeight="1">
      <c r="C30" s="135"/>
      <c r="D30" s="136"/>
      <c r="E30" s="106">
        <f>IF(OR(E29="",E29=0),"",IF(E29&gt;G29,2,IF(E29&lt;G29,0,1)))</f>
        <v>0</v>
      </c>
      <c r="F30" s="40" t="s">
        <v>16</v>
      </c>
      <c r="G30" s="107">
        <f>IF(OR(G29="",G29=0),"",IF(G29&gt;E29,2,IF(G29&lt;E29,0,1)))</f>
        <v>2</v>
      </c>
      <c r="H30" s="106">
        <f>IF(OR(H29="",H29=0),"",IF(H29&gt;J29,2,IF(H29&lt;J29,0,1)))</f>
        <v>2</v>
      </c>
      <c r="I30" s="40" t="s">
        <v>16</v>
      </c>
      <c r="J30" s="107">
        <f>IF(OR(J29="",J29=0),"",IF(J29&gt;H29,2,IF(J29&lt;H29,0,1)))</f>
        <v>0</v>
      </c>
      <c r="K30" s="103"/>
      <c r="L30" s="104"/>
      <c r="M30" s="105"/>
      <c r="N30" s="106">
        <f>IF(OR(N29="",N29=0),"",IF(N29&gt;P29,2,IF(N29&lt;P29,0,1)))</f>
        <v>0</v>
      </c>
      <c r="O30" s="40" t="s">
        <v>16</v>
      </c>
      <c r="P30" s="107">
        <f>IF(OR(P29="",P29=0),"",IF(P29&gt;N29,2,IF(P29&lt;N29,0,1)))</f>
        <v>2</v>
      </c>
      <c r="Q30" s="106" t="str">
        <f>IF(OR(Q29="",Q29=0),"",IF(Q29&gt;S29,2,IF(Q29&lt;S29,0,1)))</f>
        <v/>
      </c>
      <c r="R30" s="40" t="s">
        <v>16</v>
      </c>
      <c r="S30" s="107" t="str">
        <f>IF(OR(S29="",S29=0),"",IF(S29&gt;Q29,2,IF(S29&lt;Q29,0,1)))</f>
        <v/>
      </c>
      <c r="T30" s="106">
        <f>IF(Y30="","",SUM(E30,H30,K30,N30,Q30))</f>
        <v>2</v>
      </c>
      <c r="U30" s="40" t="s">
        <v>16</v>
      </c>
      <c r="V30" s="107">
        <f>IF(Y30="","",SUM(G30,J30,M30,P30,S30))</f>
        <v>4</v>
      </c>
      <c r="W30" s="108"/>
      <c r="X30" s="309">
        <f>+(T30-V30)+T29/V29+T30</f>
        <v>0.74336283185840712</v>
      </c>
      <c r="Y30" s="99" t="s">
        <v>17</v>
      </c>
      <c r="AD30" s="194"/>
      <c r="AE30" s="195"/>
      <c r="AF30" s="196"/>
      <c r="AG30" s="197"/>
      <c r="AH30" s="198"/>
      <c r="AI30" s="106">
        <f>IF(OR(AI29="",AI29=0),"",IF(AI29&gt;AK29,2,IF(AI29&lt;AK29,0,1)))</f>
        <v>2</v>
      </c>
      <c r="AJ30" s="40" t="s">
        <v>16</v>
      </c>
      <c r="AK30" s="107">
        <f>IF(OR(AK29="",AK29=0),"",IF(AK29&gt;AI29,2,IF(AK29&lt;AI29,0,1)))</f>
        <v>0</v>
      </c>
      <c r="AL30" s="106">
        <f>IF(OR(AL29="",AL29=0),"",IF(AL29&gt;AN29,2,IF(AL29&lt;AN29,0,1)))</f>
        <v>2</v>
      </c>
      <c r="AM30" s="40" t="s">
        <v>16</v>
      </c>
      <c r="AN30" s="107">
        <f>IF(OR(AN29="",AN29=0),"",IF(AN29&gt;AL29,2,IF(AN29&lt;AL29,0,1)))</f>
        <v>0</v>
      </c>
      <c r="AO30" s="106">
        <f>IF(AT30="","",SUM(AF30,AI30,AL30))</f>
        <v>4</v>
      </c>
      <c r="AP30" s="40" t="s">
        <v>16</v>
      </c>
      <c r="AQ30" s="107">
        <f>IF(AT30="","",SUM(AH30,AK30,AN30))</f>
        <v>0</v>
      </c>
      <c r="AR30" s="199"/>
      <c r="AS30" s="109">
        <f>+(AO30-AQ30)+AO29/AQ29+AO30</f>
        <v>9.3269230769230766</v>
      </c>
      <c r="AT30" s="34" t="s">
        <v>17</v>
      </c>
    </row>
    <row r="31" spans="1:46" ht="15.2" customHeight="1">
      <c r="A31" s="34">
        <v>14</v>
      </c>
      <c r="C31" s="89" t="str">
        <f>IF(Daten!E28="","",Daten!E28)</f>
        <v/>
      </c>
      <c r="D31" s="90" t="str">
        <f>IF(Daten!L28="","",Daten!L28)</f>
        <v>Niedersachsen</v>
      </c>
      <c r="E31" s="94">
        <f>IF(P25="","",P25)</f>
        <v>37</v>
      </c>
      <c r="F31" s="49" t="s">
        <v>15</v>
      </c>
      <c r="G31" s="95">
        <f>IF(N25="","",N25)</f>
        <v>25</v>
      </c>
      <c r="H31" s="94">
        <f>IF(P27="","",P27)</f>
        <v>45</v>
      </c>
      <c r="I31" s="49" t="s">
        <v>15</v>
      </c>
      <c r="J31" s="95">
        <f>IF(N27="","",N27)</f>
        <v>20</v>
      </c>
      <c r="K31" s="94">
        <f>IF(P29="","",P29)</f>
        <v>46</v>
      </c>
      <c r="L31" s="49" t="s">
        <v>15</v>
      </c>
      <c r="M31" s="95">
        <f>IF(N29="","",N29)</f>
        <v>15</v>
      </c>
      <c r="N31" s="91"/>
      <c r="O31" s="92"/>
      <c r="P31" s="93"/>
      <c r="Q31" s="94" t="str">
        <f>IF(ISERROR(VLOOKUP($A$4&amp;TEXT($A31,"00")&amp;TEXT(R$23,"00"),Samstag!$B$24:$T$162,16,FALSE)),"",VLOOKUP($A$4&amp;TEXT($A31,"00")&amp;TEXT(R$23,"00"),Samstag!$B$24:$T$162,16,FALSE))</f>
        <v/>
      </c>
      <c r="R31" s="49" t="s">
        <v>15</v>
      </c>
      <c r="S31" s="95" t="str">
        <f>IF(ISERROR(VLOOKUP($A$4&amp;TEXT($A31,"00")&amp;TEXT(R$23,"00"),Samstag!$B$24:$T$162,18,FALSE)),"",VLOOKUP($A$4&amp;TEXT($A31,"00")&amp;TEXT(R$23,"00"),Samstag!$B$24:$T$162,18,FALSE))</f>
        <v/>
      </c>
      <c r="T31" s="96">
        <f>IF(Y32="","",SUM(E31,H31,K31,N31,Q31))</f>
        <v>128</v>
      </c>
      <c r="U31" s="49" t="s">
        <v>15</v>
      </c>
      <c r="V31" s="97">
        <f>IF(Y32="","",SUM(G31,J31,M31,P31,S31))</f>
        <v>60</v>
      </c>
      <c r="W31" s="110">
        <f>IF(Y31="","",RANK(X32,($X$26,$X$28,$X$30,$X$32,$X$34),0))</f>
        <v>1</v>
      </c>
      <c r="X31" s="308"/>
      <c r="Y31" s="99" t="s">
        <v>17</v>
      </c>
      <c r="AB31" s="34">
        <v>4</v>
      </c>
      <c r="AC31" s="34" t="str">
        <f>IF(W31="","",IF($W$25=4,$D$25,IF($W$27=4,$D$27,IF($W$29=4,$D$29,IF($W$31=4,$D$31,IF($W$33=4,$D$33,0))))))</f>
        <v>Schwaben</v>
      </c>
      <c r="AD31" s="190">
        <v>2</v>
      </c>
      <c r="AE31" s="191" t="str">
        <f>+AC14</f>
        <v/>
      </c>
      <c r="AF31" s="190"/>
      <c r="AG31" s="49" t="s">
        <v>15</v>
      </c>
      <c r="AH31" s="191"/>
      <c r="AI31" s="192"/>
      <c r="AJ31" s="179"/>
      <c r="AK31" s="193"/>
      <c r="AL31" s="190"/>
      <c r="AM31" s="49" t="s">
        <v>15</v>
      </c>
      <c r="AN31" s="191"/>
      <c r="AO31" s="96" t="str">
        <f>IF(AT32="","",SUM(AF31,AI31,AL31))</f>
        <v/>
      </c>
      <c r="AP31" s="49" t="s">
        <v>15</v>
      </c>
      <c r="AQ31" s="97" t="str">
        <f>IF(AT32="","",SUM(AH31,AK31,AN31))</f>
        <v/>
      </c>
      <c r="AR31" s="110" t="str">
        <f>IF(AT31="","",RANK(AS32,($AS$30,$AS$32,$AS$34),0))</f>
        <v/>
      </c>
    </row>
    <row r="32" spans="1:46" ht="11.1" customHeight="1">
      <c r="C32" s="133"/>
      <c r="D32" s="136"/>
      <c r="E32" s="106">
        <f>IF(OR(E31="",E31=0),"",IF(E31&gt;G31,2,IF(E31&lt;G31,0,1)))</f>
        <v>2</v>
      </c>
      <c r="F32" s="40" t="s">
        <v>16</v>
      </c>
      <c r="G32" s="107">
        <f>IF(OR(G31="",G31=0),"",IF(G31&gt;E31,2,IF(G31&lt;E31,0,1)))</f>
        <v>0</v>
      </c>
      <c r="H32" s="106">
        <f>IF(OR(H31="",H31=0),"",IF(H31&gt;J31,2,IF(H31&lt;J31,0,1)))</f>
        <v>2</v>
      </c>
      <c r="I32" s="40" t="s">
        <v>16</v>
      </c>
      <c r="J32" s="107">
        <f>IF(OR(J31="",J31=0),"",IF(J31&gt;H31,2,IF(J31&lt;H31,0,1)))</f>
        <v>0</v>
      </c>
      <c r="K32" s="106">
        <f>IF(OR(K31="",K31=0),"",IF(K31&gt;M31,2,IF(K31&lt;M31,0,1)))</f>
        <v>2</v>
      </c>
      <c r="L32" s="40" t="s">
        <v>16</v>
      </c>
      <c r="M32" s="107">
        <f>IF(OR(M31="",M31=0),"",IF(M31&gt;K31,2,IF(M31&lt;K31,0,1)))</f>
        <v>0</v>
      </c>
      <c r="N32" s="103"/>
      <c r="O32" s="104"/>
      <c r="P32" s="105"/>
      <c r="Q32" s="106" t="str">
        <f>IF(OR(Q31="",Q31=0),"",IF(Q31&gt;S31,2,IF(Q31&lt;S31,0,1)))</f>
        <v/>
      </c>
      <c r="R32" s="40" t="s">
        <v>16</v>
      </c>
      <c r="S32" s="107" t="str">
        <f>IF(OR(S31="",S31=0),"",IF(S31&gt;Q31,2,IF(S31&lt;Q31,0,1)))</f>
        <v/>
      </c>
      <c r="T32" s="106">
        <f>IF(Y32="","",SUM(E32,H32,K32,N32,Q32))</f>
        <v>6</v>
      </c>
      <c r="U32" s="40" t="s">
        <v>16</v>
      </c>
      <c r="V32" s="107">
        <f>IF(Y32="","",SUM(G32,J32,M32,P32,S32))</f>
        <v>0</v>
      </c>
      <c r="W32" s="108"/>
      <c r="X32" s="309">
        <f>+(T32-V32)+T31/V31+T32</f>
        <v>14.133333333333333</v>
      </c>
      <c r="Y32" s="99" t="s">
        <v>17</v>
      </c>
      <c r="AD32" s="194"/>
      <c r="AE32" s="195"/>
      <c r="AF32" s="106" t="str">
        <f>IF(OR(AF31="",AF31=0),"",IF(AF31&gt;AH31,2,IF(AF31&lt;AH31,0,1)))</f>
        <v/>
      </c>
      <c r="AG32" s="40" t="s">
        <v>16</v>
      </c>
      <c r="AH32" s="107" t="str">
        <f>IF(OR(AH31="",AH31=0),"",IF(AH31&gt;AF31,2,IF(AH31&lt;AF31,0,1)))</f>
        <v/>
      </c>
      <c r="AI32" s="196"/>
      <c r="AJ32" s="197"/>
      <c r="AK32" s="198"/>
      <c r="AL32" s="106" t="str">
        <f>IF(OR(AL31="",AL31=0),"",IF(AL31&gt;AN31,2,IF(AL31&lt;AN31,0,1)))</f>
        <v/>
      </c>
      <c r="AM32" s="40" t="s">
        <v>16</v>
      </c>
      <c r="AN32" s="107" t="str">
        <f>IF(OR(AN31="",AN31=0),"",IF(AN31&gt;AL31,2,IF(AN31&lt;AL31,0,1)))</f>
        <v/>
      </c>
      <c r="AO32" s="106" t="str">
        <f>IF(AT32="","",SUM(AF32,AI32,AL32))</f>
        <v/>
      </c>
      <c r="AP32" s="40" t="s">
        <v>16</v>
      </c>
      <c r="AQ32" s="107" t="str">
        <f>IF(AT32="","",SUM(AH32,AK32,AN32))</f>
        <v/>
      </c>
      <c r="AR32" s="199"/>
      <c r="AS32" s="109"/>
    </row>
    <row r="33" spans="1:46" ht="15.2" customHeight="1">
      <c r="A33" s="34">
        <v>15</v>
      </c>
      <c r="C33" s="89" t="str">
        <f>IF(Daten!E29="","",Daten!E29)</f>
        <v/>
      </c>
      <c r="D33" s="90" t="str">
        <f>IF(Daten!L29="","",Daten!L29)</f>
        <v/>
      </c>
      <c r="E33" s="94" t="str">
        <f>IF(S25="","",S25)</f>
        <v/>
      </c>
      <c r="F33" s="49" t="s">
        <v>15</v>
      </c>
      <c r="G33" s="95" t="str">
        <f>IF(Q25="","",Q25)</f>
        <v/>
      </c>
      <c r="H33" s="94" t="str">
        <f>IF(S27="","",S27)</f>
        <v/>
      </c>
      <c r="I33" s="49" t="s">
        <v>15</v>
      </c>
      <c r="J33" s="95" t="str">
        <f>IF(Q27="","",Q27)</f>
        <v/>
      </c>
      <c r="K33" s="94" t="str">
        <f>IF(S29="","",S29)</f>
        <v/>
      </c>
      <c r="L33" s="49" t="s">
        <v>15</v>
      </c>
      <c r="M33" s="95" t="str">
        <f>IF(Q29="","",Q29)</f>
        <v/>
      </c>
      <c r="N33" s="94" t="str">
        <f>IF(S31="","",S31)</f>
        <v/>
      </c>
      <c r="O33" s="49" t="s">
        <v>15</v>
      </c>
      <c r="P33" s="95" t="str">
        <f>IF(Q31="","",Q31)</f>
        <v/>
      </c>
      <c r="Q33" s="91"/>
      <c r="R33" s="92"/>
      <c r="S33" s="93"/>
      <c r="T33" s="96" t="str">
        <f>IF(Y34="","",SUM(E33,H33,K33,N33,Q33))</f>
        <v/>
      </c>
      <c r="U33" s="49" t="s">
        <v>15</v>
      </c>
      <c r="V33" s="97" t="str">
        <f>IF(Y34="","",SUM(G33,J33,M33,P33,S33))</f>
        <v/>
      </c>
      <c r="W33" s="110" t="str">
        <f>IF(Y33="","",RANK(X34,($X$26,$X$28,$X$30,$X$32,$X$34),0))</f>
        <v/>
      </c>
      <c r="X33" s="308" t="s">
        <v>17</v>
      </c>
      <c r="Y33" s="99"/>
      <c r="AB33" s="34">
        <v>5</v>
      </c>
      <c r="AC33" s="34" t="str">
        <f>IF(W33="","",IF($W$25=5,$D$25,IF($W$27=5,$D$27,IF($W$29=5,$D$29,IF($W$31=5,$D$31,IF($W$33=5,$D$33,0))))))</f>
        <v/>
      </c>
      <c r="AD33" s="190">
        <v>3</v>
      </c>
      <c r="AE33" s="191" t="str">
        <f>+AC31</f>
        <v>Schwaben</v>
      </c>
      <c r="AF33" s="190">
        <f>+AN29</f>
        <v>23</v>
      </c>
      <c r="AG33" s="49" t="s">
        <v>15</v>
      </c>
      <c r="AH33" s="191">
        <f>+AL29</f>
        <v>35</v>
      </c>
      <c r="AI33" s="190">
        <f>+M42</f>
        <v>29</v>
      </c>
      <c r="AJ33" s="49" t="s">
        <v>15</v>
      </c>
      <c r="AK33" s="191">
        <f>+K42</f>
        <v>34</v>
      </c>
      <c r="AL33" s="192"/>
      <c r="AM33" s="179"/>
      <c r="AN33" s="193"/>
      <c r="AO33" s="96">
        <f>IF(AT34="","",SUM(AF33,AI33,AL33))</f>
        <v>52</v>
      </c>
      <c r="AP33" s="49" t="s">
        <v>15</v>
      </c>
      <c r="AQ33" s="97">
        <f>IF(AT34="","",SUM(AH33,AK33,AN33))</f>
        <v>69</v>
      </c>
      <c r="AR33" s="110">
        <f>IF(AT33="","",RANK(AS34,($AS$30,$AS$32,$AS$34),0))</f>
        <v>2</v>
      </c>
      <c r="AT33" s="34" t="s">
        <v>17</v>
      </c>
    </row>
    <row r="34" spans="1:46" ht="11.1" customHeight="1">
      <c r="C34" s="135"/>
      <c r="D34" s="136"/>
      <c r="E34" s="106" t="str">
        <f>IF(OR(E33="",E33=0),"",IF(E33&gt;G33,2,IF(E33&lt;G33,0,1)))</f>
        <v/>
      </c>
      <c r="F34" s="40" t="s">
        <v>16</v>
      </c>
      <c r="G34" s="107" t="str">
        <f>IF(OR(G33="",G33=0),"",IF(G33&gt;E33,2,IF(G33&lt;E33,0,1)))</f>
        <v/>
      </c>
      <c r="H34" s="106" t="str">
        <f>IF(OR(H33="",H33=0),"",IF(H33&gt;J33,2,IF(H33&lt;J33,0,1)))</f>
        <v/>
      </c>
      <c r="I34" s="40" t="s">
        <v>16</v>
      </c>
      <c r="J34" s="107" t="str">
        <f>IF(OR(J33="",J33=0),"",IF(J33&gt;H33,2,IF(J33&lt;H33,0,1)))</f>
        <v/>
      </c>
      <c r="K34" s="106" t="str">
        <f>IF(OR(K33="",K33=0),"",IF(K33&gt;M33,2,IF(K33&lt;M33,0,1)))</f>
        <v/>
      </c>
      <c r="L34" s="40" t="s">
        <v>16</v>
      </c>
      <c r="M34" s="107" t="str">
        <f>IF(OR(M33="",M33=0),"",IF(M33&gt;K33,2,IF(M33&lt;K33,0,1)))</f>
        <v/>
      </c>
      <c r="N34" s="106" t="str">
        <f>IF(OR(N33="",N33=0),"",IF(N33&gt;P33,2,IF(N33&lt;P33,0,1)))</f>
        <v/>
      </c>
      <c r="O34" s="40" t="s">
        <v>16</v>
      </c>
      <c r="P34" s="107" t="str">
        <f>IF(OR(P33="",P33=0),"",IF(P33&gt;N33,2,IF(P33&lt;N33,0,1)))</f>
        <v/>
      </c>
      <c r="Q34" s="103"/>
      <c r="R34" s="104"/>
      <c r="S34" s="105"/>
      <c r="T34" s="106" t="str">
        <f>IF(Y34="","",SUM(E34,H34,K34,N34,Q34))</f>
        <v/>
      </c>
      <c r="U34" s="40" t="s">
        <v>16</v>
      </c>
      <c r="V34" s="107" t="str">
        <f>IF(Y34="","",SUM(G34,J34,M34,P34,S34))</f>
        <v/>
      </c>
      <c r="W34" s="108"/>
      <c r="X34" s="309"/>
      <c r="Y34" s="99"/>
      <c r="AD34" s="194"/>
      <c r="AE34" s="195"/>
      <c r="AF34" s="106">
        <f>IF(OR(AF33="",AF33=0),"",IF(AF33&gt;AH33,2,IF(AF33&lt;AH33,0,1)))</f>
        <v>0</v>
      </c>
      <c r="AG34" s="40" t="s">
        <v>16</v>
      </c>
      <c r="AH34" s="107">
        <f>IF(OR(AH33="",AH33=0),"",IF(AH33&gt;AF33,2,IF(AH33&lt;AF33,0,1)))</f>
        <v>2</v>
      </c>
      <c r="AI34" s="106">
        <f>IF(OR(AI33="",AI33=0),"",IF(AI33&gt;AK33,2,IF(AI33&lt;AK33,0,1)))</f>
        <v>0</v>
      </c>
      <c r="AJ34" s="40" t="s">
        <v>16</v>
      </c>
      <c r="AK34" s="107">
        <f>IF(OR(AK33="",AK33=0),"",IF(AK33&gt;AI33,2,IF(AK33&lt;AI33,0,1)))</f>
        <v>2</v>
      </c>
      <c r="AL34" s="196"/>
      <c r="AM34" s="197"/>
      <c r="AN34" s="198"/>
      <c r="AO34" s="106">
        <f>IF(AT34="","",SUM(AF34,AI34,AL34))</f>
        <v>0</v>
      </c>
      <c r="AP34" s="40" t="s">
        <v>16</v>
      </c>
      <c r="AQ34" s="107">
        <f>IF(AT34="","",SUM(AH34,AK34,AN34))</f>
        <v>4</v>
      </c>
      <c r="AR34" s="199"/>
      <c r="AS34" s="109">
        <f>+(AO34-AQ34)+AO33/AQ33+AO34</f>
        <v>-3.2463768115942031</v>
      </c>
      <c r="AT34" s="34" t="s">
        <v>17</v>
      </c>
    </row>
    <row r="35" spans="1:46" ht="10.15" hidden="1" customHeight="1" outlineLevel="1">
      <c r="C35" s="137"/>
      <c r="D35" s="113"/>
      <c r="E35" s="114"/>
      <c r="F35" s="49"/>
      <c r="G35" s="115"/>
      <c r="H35" s="114"/>
      <c r="I35" s="49"/>
      <c r="J35" s="115"/>
      <c r="K35" s="114"/>
      <c r="L35" s="49"/>
      <c r="M35" s="115"/>
      <c r="N35" s="114"/>
      <c r="O35" s="49"/>
      <c r="P35" s="115"/>
      <c r="Q35" s="116"/>
      <c r="R35" s="116"/>
      <c r="S35" s="116"/>
      <c r="T35" s="114"/>
      <c r="U35" s="49"/>
      <c r="V35" s="115"/>
      <c r="W35" s="117"/>
      <c r="X35" s="109"/>
      <c r="Y35" s="99"/>
      <c r="AT35" s="34" t="s">
        <v>17</v>
      </c>
    </row>
    <row r="36" spans="1:46" ht="10.15" hidden="1" customHeight="1" outlineLevel="1">
      <c r="C36" s="118" t="s">
        <v>18</v>
      </c>
      <c r="D36" s="119" t="str">
        <f>+D25</f>
        <v>Westfalen</v>
      </c>
      <c r="E36" s="120"/>
      <c r="F36" s="121"/>
      <c r="G36" s="122"/>
      <c r="H36" s="123"/>
      <c r="I36" s="124" t="s">
        <v>15</v>
      </c>
      <c r="J36" s="125"/>
      <c r="K36" s="123"/>
      <c r="L36" s="124" t="s">
        <v>15</v>
      </c>
      <c r="M36" s="125"/>
      <c r="N36" s="123"/>
      <c r="O36" s="124" t="s">
        <v>15</v>
      </c>
      <c r="P36" s="125"/>
      <c r="Q36" s="126"/>
      <c r="R36" s="124" t="s">
        <v>15</v>
      </c>
      <c r="S36" s="127"/>
      <c r="T36" s="37"/>
      <c r="U36" s="38"/>
      <c r="V36" s="42"/>
      <c r="W36" s="41"/>
      <c r="X36" s="109"/>
      <c r="Y36" s="99"/>
    </row>
    <row r="37" spans="1:46" ht="10.15" hidden="1" customHeight="1" outlineLevel="1">
      <c r="C37" s="128"/>
      <c r="D37" s="119" t="str">
        <f>+D27</f>
        <v>Schwaben</v>
      </c>
      <c r="E37" s="123" t="str">
        <f>IF(J36="","",J36)</f>
        <v/>
      </c>
      <c r="F37" s="124" t="s">
        <v>15</v>
      </c>
      <c r="G37" s="125" t="str">
        <f>IF(H36="","",H36)</f>
        <v/>
      </c>
      <c r="H37" s="120"/>
      <c r="I37" s="121"/>
      <c r="J37" s="122"/>
      <c r="K37" s="123"/>
      <c r="L37" s="124" t="s">
        <v>15</v>
      </c>
      <c r="M37" s="125"/>
      <c r="N37" s="123"/>
      <c r="O37" s="124" t="s">
        <v>15</v>
      </c>
      <c r="P37" s="125"/>
      <c r="Q37" s="126"/>
      <c r="R37" s="124" t="s">
        <v>15</v>
      </c>
      <c r="S37" s="127"/>
      <c r="T37" s="37"/>
      <c r="U37" s="38"/>
      <c r="V37" s="42"/>
      <c r="W37" s="41"/>
      <c r="X37" s="109"/>
      <c r="Y37" s="99"/>
    </row>
    <row r="38" spans="1:46" ht="10.15" hidden="1" customHeight="1" outlineLevel="1">
      <c r="C38" s="128"/>
      <c r="D38" s="119" t="str">
        <f>+D29</f>
        <v>Pfalz</v>
      </c>
      <c r="E38" s="123" t="str">
        <f>IF(M36="","",M36)</f>
        <v/>
      </c>
      <c r="F38" s="124" t="s">
        <v>15</v>
      </c>
      <c r="G38" s="125" t="str">
        <f>IF(K36="","",K36)</f>
        <v/>
      </c>
      <c r="H38" s="123" t="str">
        <f>IF(M37="","",M37)</f>
        <v/>
      </c>
      <c r="I38" s="124" t="s">
        <v>15</v>
      </c>
      <c r="J38" s="125" t="str">
        <f>IF(K37="","",K37)</f>
        <v/>
      </c>
      <c r="K38" s="120"/>
      <c r="L38" s="121"/>
      <c r="M38" s="122"/>
      <c r="N38" s="123"/>
      <c r="O38" s="124" t="s">
        <v>15</v>
      </c>
      <c r="P38" s="125"/>
      <c r="Q38" s="126"/>
      <c r="R38" s="124" t="s">
        <v>15</v>
      </c>
      <c r="S38" s="127"/>
      <c r="T38" s="37"/>
      <c r="U38" s="38"/>
      <c r="V38" s="42"/>
      <c r="W38" s="41"/>
      <c r="X38" s="109"/>
      <c r="Y38" s="99"/>
    </row>
    <row r="39" spans="1:46" ht="10.15" hidden="1" customHeight="1" outlineLevel="1">
      <c r="C39" s="128"/>
      <c r="D39" s="119" t="str">
        <f>+D31</f>
        <v>Niedersachsen</v>
      </c>
      <c r="E39" s="123" t="str">
        <f>IF(P36="","",P36)</f>
        <v/>
      </c>
      <c r="F39" s="124" t="s">
        <v>15</v>
      </c>
      <c r="G39" s="125" t="str">
        <f>IF(N36="","",N36)</f>
        <v/>
      </c>
      <c r="H39" s="123" t="str">
        <f>IF(P37="","",P37)</f>
        <v/>
      </c>
      <c r="I39" s="124" t="s">
        <v>15</v>
      </c>
      <c r="J39" s="125" t="str">
        <f>IF(N37="","",N37)</f>
        <v/>
      </c>
      <c r="K39" s="123" t="str">
        <f>IF(P38="","",P38)</f>
        <v/>
      </c>
      <c r="L39" s="124" t="s">
        <v>15</v>
      </c>
      <c r="M39" s="125" t="str">
        <f>IF(N38="","",N38)</f>
        <v/>
      </c>
      <c r="N39" s="120"/>
      <c r="O39" s="121"/>
      <c r="P39" s="122"/>
      <c r="Q39" s="138"/>
      <c r="R39" s="124" t="s">
        <v>15</v>
      </c>
      <c r="S39" s="127"/>
      <c r="T39" s="37"/>
      <c r="U39" s="38"/>
      <c r="V39" s="42"/>
      <c r="W39" s="41"/>
      <c r="X39" s="109"/>
      <c r="Y39" s="99"/>
    </row>
    <row r="40" spans="1:46" ht="10.15" hidden="1" customHeight="1" outlineLevel="1">
      <c r="D40" s="119" t="str">
        <f>+D33</f>
        <v/>
      </c>
      <c r="E40" s="123" t="str">
        <f>IF(S36="","",S36)</f>
        <v/>
      </c>
      <c r="F40" s="124" t="s">
        <v>15</v>
      </c>
      <c r="G40" s="125" t="str">
        <f>IF(Q36="","",Q36)</f>
        <v/>
      </c>
      <c r="H40" s="123" t="str">
        <f>IF(S37="","",S37)</f>
        <v/>
      </c>
      <c r="I40" s="124" t="s">
        <v>15</v>
      </c>
      <c r="J40" s="125" t="str">
        <f>IF(Q37="","",Q37)</f>
        <v/>
      </c>
      <c r="K40" s="123" t="str">
        <f>IF(S38="","",S38)</f>
        <v/>
      </c>
      <c r="L40" s="124" t="s">
        <v>15</v>
      </c>
      <c r="M40" s="125" t="str">
        <f>IF(Q38="","",Q38)</f>
        <v/>
      </c>
      <c r="N40" s="139" t="str">
        <f>IF(S39="","",S39)</f>
        <v/>
      </c>
      <c r="O40" s="124" t="s">
        <v>15</v>
      </c>
      <c r="P40" s="125" t="str">
        <f>IF(Q39="","",Q39)</f>
        <v/>
      </c>
      <c r="Q40" s="120"/>
      <c r="R40" s="129"/>
      <c r="S40" s="122"/>
    </row>
    <row r="41" spans="1:46" ht="18" customHeight="1" collapsed="1">
      <c r="B41" s="99"/>
      <c r="C41" s="175" t="s">
        <v>275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</row>
    <row r="42" spans="1:46" ht="17.25" customHeight="1">
      <c r="A42" s="39" t="s">
        <v>182</v>
      </c>
      <c r="B42" s="34" t="s">
        <v>28</v>
      </c>
      <c r="C42" s="140" t="str">
        <f>"4."&amp;+$D$5&amp;"  4."&amp;+$D$24</f>
        <v>4.Gruppe E  4.Gruppe F</v>
      </c>
      <c r="D42" s="141" t="str">
        <f ca="1">"  "&amp;IF(Y31="","",IF(ISERROR(VLOOKUP($A$4&amp;TEXT($A42,"000"),Sonntag!$B$23:$S$161,8,FALSE)),"",VLOOKUP($A$4&amp;TEXT($A42,"000"),Sonntag!$B$23:$S$161,8,FALSE)))&amp;" : "&amp;IF(Y31="","",IF(ISERROR(VLOOKUP($A$4&amp;TEXT($A42,"000"),Sonntag!$B$23:$S$161,11,FALSE)),"",VLOOKUP($A$4&amp;TEXT($A42,"000"),Sonntag!$B$23:$S$161,11,FALSE)))</f>
        <v xml:space="preserve">  Baden : Schwaben</v>
      </c>
      <c r="E42" s="142"/>
      <c r="F42" s="142"/>
      <c r="G42" s="142"/>
      <c r="H42" s="142"/>
      <c r="I42" s="143"/>
      <c r="J42" s="144"/>
      <c r="K42" s="145">
        <f>IF(N42="","",IF(ISERROR(VLOOKUP($A$4&amp;TEXT($A$42,"000"),Sonntag!$B$23:$S$93,16,FALSE)),"",VLOOKUP($A$4&amp;TEXT($A42,"000"),Sonntag!$B$23:$S$93,16,FALSE)))</f>
        <v>34</v>
      </c>
      <c r="L42" s="48" t="s">
        <v>15</v>
      </c>
      <c r="M42" s="146">
        <f>IF(N42="","",IF(ISERROR(VLOOKUP($A$4&amp;TEXT($A$42,"000"),Sonntag!$B$23:$S$93,18,FALSE)),"",VLOOKUP($A$4&amp;TEXT($A42,"000"),Sonntag!$B$23:$S$93,18,FALSE)))</f>
        <v>29</v>
      </c>
      <c r="N42" s="147" t="s">
        <v>17</v>
      </c>
      <c r="O42" s="72"/>
      <c r="P42" s="53"/>
      <c r="AC42" s="148">
        <f>IF(K42="","",IF(K42&gt;M42,2,IF(K42&lt;M42,0,1)))</f>
        <v>2</v>
      </c>
    </row>
    <row r="43" spans="1:46" ht="4.7" customHeight="1">
      <c r="A43" s="39"/>
      <c r="B43" s="149"/>
      <c r="C43" s="36"/>
      <c r="D43" s="53"/>
      <c r="E43" s="150"/>
      <c r="F43" s="151"/>
      <c r="G43" s="150"/>
      <c r="H43" s="150"/>
      <c r="I43" s="150"/>
      <c r="J43" s="150"/>
      <c r="K43" s="186"/>
      <c r="M43" s="46"/>
      <c r="N43" s="152"/>
    </row>
    <row r="44" spans="1:46" ht="17.25" customHeight="1">
      <c r="A44" s="39" t="s">
        <v>183</v>
      </c>
      <c r="B44" s="34" t="s">
        <v>29</v>
      </c>
      <c r="C44" s="140" t="str">
        <f>"4."&amp;+$D$24&amp;"  4."&amp;+$D$5</f>
        <v>4.Gruppe F  4.Gruppe E</v>
      </c>
      <c r="D44" s="141" t="str">
        <f ca="1">"  "&amp;IF(Y31="","",IF(ISERROR(VLOOKUP($A$4&amp;TEXT($A44,"000"),Sonntag!$B$23:$S$161,8,FALSE)),"",VLOOKUP($A$4&amp;TEXT($A44,"000"),Sonntag!$B$23:$S$161,8,FALSE)))&amp;" : "&amp;IF(Y31="","",IF(ISERROR(VLOOKUP($A$4&amp;TEXT($A44,"000"),Sonntag!$B$23:$S$161,11,FALSE)),"",VLOOKUP($A$4&amp;TEXT($A44,"000"),Sonntag!$B$23:$S$161,11,FALSE)))</f>
        <v xml:space="preserve">  Schwaben : Baden</v>
      </c>
      <c r="E44" s="142"/>
      <c r="F44" s="142"/>
      <c r="G44" s="142"/>
      <c r="H44" s="142"/>
      <c r="I44" s="143"/>
      <c r="J44" s="144"/>
      <c r="K44" s="145">
        <f>IF(N44="","",IF(ISERROR(VLOOKUP($A$4&amp;TEXT($A$42,"000"),Sonntag!$B$23:$S$93,16,FALSE)),"",VLOOKUP($A$4&amp;TEXT($A44,"000"),Sonntag!$B$23:$S$93,16,FALSE)))</f>
        <v>23</v>
      </c>
      <c r="L44" s="48" t="s">
        <v>15</v>
      </c>
      <c r="M44" s="146">
        <f>IF(N44="","",IF(ISERROR(VLOOKUP($A$4&amp;TEXT($A$42,"000"),Sonntag!$B$23:$S$93,18,FALSE)),"",VLOOKUP($A$4&amp;TEXT($A44,"000"),Sonntag!$B$23:$S$93,18,FALSE)))</f>
        <v>35</v>
      </c>
      <c r="N44" s="147" t="s">
        <v>17</v>
      </c>
      <c r="O44" s="72"/>
      <c r="AC44" s="148">
        <f>IF(K44="","",IF(K44&gt;M44,2,IF(K44&lt;M44,0,1)))</f>
        <v>0</v>
      </c>
    </row>
    <row r="45" spans="1:46" ht="4.7" customHeight="1">
      <c r="A45" s="39"/>
      <c r="C45" s="187"/>
      <c r="D45" s="53"/>
      <c r="E45" s="150"/>
      <c r="F45" s="150"/>
      <c r="G45" s="150"/>
      <c r="H45" s="150"/>
      <c r="I45" s="151"/>
      <c r="J45" s="150"/>
      <c r="K45" s="181"/>
      <c r="L45" s="59"/>
      <c r="M45" s="182"/>
      <c r="N45" s="147"/>
      <c r="O45" s="72"/>
      <c r="AC45" s="148"/>
    </row>
    <row r="46" spans="1:46" ht="17.25" customHeight="1">
      <c r="A46" s="39" t="s">
        <v>184</v>
      </c>
      <c r="C46" s="200" t="str">
        <f>"4."&amp;+$D$24&amp;"  4."&amp;+$D$5</f>
        <v>4.Gruppe F  4.Gruppe E</v>
      </c>
      <c r="D46" s="180" t="str">
        <f>"  "&amp;IF(Y31="","",IF(ISERROR(VLOOKUP($A$4&amp;TEXT($A46,"000"),Sonntag!$B$23:$S$161,8,FALSE)),"",VLOOKUP($A$4&amp;TEXT($A46,"000"),Sonntag!$B$23:$S$161,8,FALSE)))&amp;" : "&amp;IF(Y31="","",IF(ISERROR(VLOOKUP($A$4&amp;TEXT($A46,"000"),Sonntag!$B$23:$S$161,11,FALSE)),"",VLOOKUP($A$4&amp;TEXT($A46,"000"),Sonntag!$B$23:$S$161,11,FALSE)))</f>
        <v xml:space="preserve">   : </v>
      </c>
      <c r="E46" s="142" t="str">
        <f>"  "&amp;IF(N46="","",IF(ISERROR(VLOOKUP($A$4&amp;TEXT($A$42,"000"),#REF!,12,FALSE)),"",VLOOKUP($A$4&amp;TEXT($A46,"000"),#REF!,12,FALSE)))</f>
        <v xml:space="preserve">  </v>
      </c>
      <c r="F46" s="142"/>
      <c r="G46" s="142"/>
      <c r="H46" s="142"/>
      <c r="I46" s="143"/>
      <c r="J46" s="144"/>
      <c r="K46" s="302" t="str">
        <f>IF(N46="","",IF(ISERROR(VLOOKUP($A$4&amp;TEXT($A$42,"000"),Sonntag!$B$23:$S$93,16,FALSE)),"",VLOOKUP($A$4&amp;TEXT($A46,"000"),Sonntag!$B$23:$S$93,16,FALSE)))</f>
        <v/>
      </c>
      <c r="L46" s="303" t="s">
        <v>15</v>
      </c>
      <c r="M46" s="304" t="str">
        <f>IF(N46="","",IF(ISERROR(VLOOKUP($A$4&amp;TEXT($A$42,"000"),Sonntag!$B$23:$S$93,18,FALSE)),"",VLOOKUP($A$4&amp;TEXT($A46,"000"),Sonntag!$B$23:$S$93,18,FALSE)))</f>
        <v/>
      </c>
      <c r="N46" s="147"/>
      <c r="O46" s="72"/>
      <c r="AC46" s="148"/>
    </row>
    <row r="47" spans="1:46" ht="18" customHeight="1">
      <c r="A47" s="39"/>
      <c r="B47" s="99"/>
      <c r="C47" s="175" t="s">
        <v>20</v>
      </c>
      <c r="D47" s="153"/>
      <c r="E47" s="150"/>
      <c r="F47" s="151"/>
      <c r="G47" s="150"/>
      <c r="H47" s="150"/>
      <c r="I47" s="150"/>
      <c r="J47" s="150"/>
      <c r="K47" s="186"/>
      <c r="M47" s="46"/>
      <c r="N47" s="152"/>
      <c r="Q47" s="41"/>
      <c r="R47" s="41"/>
      <c r="S47" s="41"/>
      <c r="T47" s="41"/>
      <c r="U47" s="41"/>
      <c r="V47" s="41"/>
      <c r="W47" s="41"/>
    </row>
    <row r="48" spans="1:46" ht="17.25" customHeight="1">
      <c r="A48" s="39" t="s">
        <v>43</v>
      </c>
      <c r="B48" s="34" t="s">
        <v>21</v>
      </c>
      <c r="C48" s="140" t="str">
        <f>"2."&amp;+$D$5&amp;"  3."&amp;+$D$24</f>
        <v>2.Gruppe E  3.Gruppe F</v>
      </c>
      <c r="D48" s="141" t="str">
        <f ca="1">"  "&amp;IF(Y31="","",IF(ISERROR(VLOOKUP($A$4&amp;TEXT($A48,"000"),Sonntag!$B$23:$S$161,8,FALSE)),"",VLOOKUP($A$4&amp;TEXT($A48,"000"),Sonntag!$B$23:$S$161,8,FALSE)))&amp;" : "&amp;IF(Y31="","",IF(ISERROR(VLOOKUP($A$4&amp;TEXT($A48,"000"),Sonntag!$B$23:$S$161,11,FALSE)),"",VLOOKUP($A$4&amp;TEXT($A48,"000"),Sonntag!$B$23:$S$161,11,FALSE)))</f>
        <v xml:space="preserve">  Rheinland : Pfalz</v>
      </c>
      <c r="E48" s="142"/>
      <c r="F48" s="142"/>
      <c r="G48" s="142"/>
      <c r="H48" s="142"/>
      <c r="I48" s="143"/>
      <c r="J48" s="144"/>
      <c r="K48" s="145">
        <f>IF(N48="","",IF(ISERROR(VLOOKUP($A$4&amp;TEXT($A$42,"000"),Sonntag!$B$23:$S$93,16,FALSE)),"",VLOOKUP($A$4&amp;TEXT($A48,"000"),Sonntag!$B$23:$S$93,16,FALSE)))</f>
        <v>41</v>
      </c>
      <c r="L48" s="48" t="s">
        <v>15</v>
      </c>
      <c r="M48" s="146">
        <f>IF(N48="","",IF(ISERROR(VLOOKUP($A$4&amp;TEXT($A$42,"000"),Sonntag!$B$23:$S$93,18,FALSE)),"",VLOOKUP($A$4&amp;TEXT($A48,"000"),Sonntag!$B$23:$S$93,18,FALSE)))</f>
        <v>27</v>
      </c>
      <c r="N48" s="152" t="s">
        <v>17</v>
      </c>
      <c r="P48" s="67" t="s">
        <v>19</v>
      </c>
      <c r="Q48" s="154"/>
      <c r="R48" s="154"/>
      <c r="S48" s="154"/>
      <c r="T48" s="154"/>
      <c r="U48" s="154"/>
      <c r="V48" s="154"/>
      <c r="W48" s="154"/>
      <c r="AC48" s="148">
        <f>IF(K48="","",IF(K48&gt;M48,2,IF(K48&lt;M48,0,1)))</f>
        <v>2</v>
      </c>
    </row>
    <row r="49" spans="1:29" ht="4.7" customHeight="1">
      <c r="A49" s="39"/>
      <c r="B49" s="99"/>
      <c r="C49" s="51"/>
      <c r="D49" s="153"/>
      <c r="E49" s="150"/>
      <c r="F49" s="150"/>
      <c r="G49" s="150"/>
      <c r="H49" s="150"/>
      <c r="I49" s="151"/>
      <c r="J49" s="150"/>
      <c r="K49" s="162"/>
      <c r="L49" s="163"/>
      <c r="M49" s="164"/>
      <c r="N49" s="152"/>
      <c r="Q49" s="41"/>
      <c r="R49" s="41"/>
      <c r="S49" s="41"/>
      <c r="T49" s="41"/>
      <c r="U49" s="41"/>
      <c r="V49" s="41"/>
      <c r="W49" s="41"/>
    </row>
    <row r="50" spans="1:29" ht="17.25" customHeight="1">
      <c r="A50" s="39" t="s">
        <v>44</v>
      </c>
      <c r="B50" s="34" t="s">
        <v>22</v>
      </c>
      <c r="C50" s="140" t="str">
        <f>"2."&amp;+$D$24&amp;"  3."&amp;+$D$5</f>
        <v>2.Gruppe F  3.Gruppe E</v>
      </c>
      <c r="D50" s="141" t="str">
        <f ca="1">"  "&amp;IF(Y31="","",IF(ISERROR(VLOOKUP($A$4&amp;TEXT($A50,"000"),Sonntag!$B$23:$S$161,8,FALSE)),"",VLOOKUP($A$4&amp;TEXT($A50,"000"),Sonntag!$B$23:$S$161,8,FALSE)))&amp;" : "&amp;IF(Y31="","",IF(ISERROR(VLOOKUP($A$4&amp;TEXT($A50,"000"),Sonntag!$B$23:$S$161,11,FALSE)),"",VLOOKUP($A$4&amp;TEXT($A50,"000"),Sonntag!$B$23:$S$161,11,FALSE)))</f>
        <v xml:space="preserve">  Westfalen : Berlin</v>
      </c>
      <c r="E50" s="142"/>
      <c r="F50" s="142"/>
      <c r="G50" s="142"/>
      <c r="H50" s="142"/>
      <c r="I50" s="143"/>
      <c r="J50" s="144"/>
      <c r="K50" s="145">
        <f>IF(N50="","",IF(ISERROR(VLOOKUP($A$4&amp;TEXT($A$42,"000"),Sonntag!$B$23:$S$93,16,FALSE)),"",VLOOKUP($A$4&amp;TEXT($A50,"000"),Sonntag!$B$23:$S$93,16,FALSE)))</f>
        <v>26</v>
      </c>
      <c r="L50" s="48" t="s">
        <v>15</v>
      </c>
      <c r="M50" s="146">
        <f>IF(N50="","",IF(ISERROR(VLOOKUP($A$4&amp;TEXT($A$42,"000"),Sonntag!$B$23:$S$93,18,FALSE)),"",VLOOKUP($A$4&amp;TEXT($A50,"000"),Sonntag!$B$23:$S$93,18,FALSE)))</f>
        <v>30</v>
      </c>
      <c r="N50" s="152" t="s">
        <v>17</v>
      </c>
      <c r="P50" s="178">
        <v>1</v>
      </c>
      <c r="Q50" s="305" t="str">
        <f ca="1">"  "&amp;IF(K63&gt;M63,IF($Y50="","",IF(ISERROR(VLOOKUP($A$4&amp;TEXT($A63,"000"),Sonntag!$B$23:$T$139,8,FALSE)),"",VLOOKUP($A$4&amp;TEXT($A63,"000"),Sonntag!$B$23:$T$139,8,FALSE))),IF($Y50="","",IF(ISERROR(VLOOKUP($A$4&amp;TEXT($A63,"000"),Sonntag!$B$23:$T$139,11,FALSE)),"",VLOOKUP($A$4&amp;TEXT($A63,"000"),Sonntag!$B$23:$T$139,11,FALSE))))</f>
        <v xml:space="preserve">  Bremen</v>
      </c>
      <c r="R50" s="155"/>
      <c r="S50" s="155"/>
      <c r="T50" s="155"/>
      <c r="U50" s="155"/>
      <c r="V50" s="155"/>
      <c r="W50" s="156"/>
      <c r="Y50" s="34" t="s">
        <v>17</v>
      </c>
      <c r="AC50" s="148">
        <f>IF(K50="","",IF(K50&gt;M50,2,IF(K50&lt;M50,0,1)))</f>
        <v>0</v>
      </c>
    </row>
    <row r="51" spans="1:29" ht="18" customHeight="1">
      <c r="B51" s="99"/>
      <c r="C51" s="175" t="s">
        <v>210</v>
      </c>
      <c r="D51" s="153"/>
      <c r="E51" s="150"/>
      <c r="F51" s="150"/>
      <c r="G51" s="150"/>
      <c r="H51" s="150"/>
      <c r="I51" s="151"/>
      <c r="J51" s="150"/>
      <c r="K51" s="186"/>
      <c r="M51" s="46"/>
      <c r="N51" s="152"/>
      <c r="P51" s="157">
        <v>2</v>
      </c>
      <c r="Q51" s="53" t="str">
        <f ca="1">"  "&amp;IF(K63&lt;M63,IF($Y51="","",IF(ISERROR(VLOOKUP($A$4&amp;TEXT($A63,"000"),Sonntag!$B$23:$T$139,8,FALSE)),"",VLOOKUP($A$4&amp;TEXT($A63,"000"),Sonntag!$B$23:$T$139,8,FALSE))),IF($Y51="","",IF(ISERROR(VLOOKUP($A$4&amp;TEXT($A63,"000"),Sonntag!$B$23:$T$139,11,FALSE)),"",VLOOKUP($A$4&amp;TEXT($A63,"000"),Sonntag!$B$23:$T$139,11,FALSE))))</f>
        <v xml:space="preserve">  Rheinland</v>
      </c>
      <c r="R51" s="53"/>
      <c r="S51" s="53"/>
      <c r="T51" s="53"/>
      <c r="U51" s="53"/>
      <c r="V51" s="53"/>
      <c r="W51" s="158"/>
      <c r="Y51" s="34" t="s">
        <v>17</v>
      </c>
      <c r="AC51" s="159"/>
    </row>
    <row r="52" spans="1:29" ht="17.25" customHeight="1">
      <c r="A52" s="39" t="s">
        <v>299</v>
      </c>
      <c r="C52" s="200" t="str">
        <f>"Ver."&amp;+$B$42&amp;"  Ver."&amp;+$B$44&amp;" Pl. 7-8"</f>
        <v>Ver.a  Ver.b Pl. 7-8</v>
      </c>
      <c r="D52" s="180" t="str">
        <f>"  "&amp;IF(N52="","",IF(ISERROR(VLOOKUP($A$4&amp;TEXT($A52,"000"),Sonntag!$B$23:$S$161,8,FALSE)),"",VLOOKUP($A$4&amp;TEXT($A52,"000"),Sonntag!$B$23:$S$161,8,FALSE)))&amp;" : "&amp;IF(N52="","",IF(ISERROR(VLOOKUP($A$4&amp;TEXT($A52,"000"),Sonntag!$B$23:$S$161,11,FALSE)),"",VLOOKUP($A$4&amp;TEXT($A52,"000"),Sonntag!$B$23:$S$161,11,FALSE)))</f>
        <v xml:space="preserve">   : </v>
      </c>
      <c r="E52" s="160"/>
      <c r="F52" s="142"/>
      <c r="G52" s="142"/>
      <c r="H52" s="142"/>
      <c r="I52" s="142"/>
      <c r="J52" s="144"/>
      <c r="K52" s="145" t="str">
        <f>IF(N52="","",IF(ISERROR(VLOOKUP($A$4&amp;TEXT($A$42,"000"),Sonntag!$B$23:$S$93,16,FALSE)),"",VLOOKUP($A$4&amp;TEXT($A52,"000"),Sonntag!$B$23:$S$93,16,FALSE)))</f>
        <v/>
      </c>
      <c r="L52" s="48" t="s">
        <v>15</v>
      </c>
      <c r="M52" s="146" t="str">
        <f>IF(N52="","",IF(ISERROR(VLOOKUP($A$4&amp;TEXT($A$42,"000"),Sonntag!$B$23:$S$93,18,FALSE)),"",VLOOKUP($A$4&amp;TEXT($A52,"000"),Sonntag!$B$23:$S$93,18,FALSE)))</f>
        <v/>
      </c>
      <c r="N52" s="152"/>
      <c r="P52" s="157">
        <v>3</v>
      </c>
      <c r="Q52" s="53" t="str">
        <f ca="1">"  "&amp;IF(K60&gt;M60,IF($Y52="","",IF(ISERROR(VLOOKUP($A$4&amp;TEXT($A60,"000"),Sonntag!$B$23:$T$139,8,FALSE)),"",VLOOKUP($A$4&amp;TEXT($A60,"000"),Sonntag!$B$23:$T$139,8,FALSE))),IF($Y52="","",IF(ISERROR(VLOOKUP($A$4&amp;TEXT($A60,"000"),Sonntag!$B$23:$T$139,11,FALSE)),"",VLOOKUP($A$4&amp;TEXT($A60,"000"),Sonntag!$B$23:$T$139,11,FALSE))))</f>
        <v xml:space="preserve">  Niedersachsen</v>
      </c>
      <c r="R52" s="53"/>
      <c r="S52" s="53"/>
      <c r="T52" s="53"/>
      <c r="U52" s="53"/>
      <c r="V52" s="53"/>
      <c r="W52" s="158"/>
      <c r="Y52" s="34" t="s">
        <v>17</v>
      </c>
      <c r="AC52" s="148"/>
    </row>
    <row r="53" spans="1:29" ht="4.7" customHeight="1">
      <c r="C53" s="159"/>
      <c r="D53" s="153"/>
      <c r="E53" s="153"/>
      <c r="F53" s="151"/>
      <c r="G53" s="150"/>
      <c r="H53" s="150"/>
      <c r="I53" s="150"/>
      <c r="J53" s="150"/>
      <c r="K53" s="162"/>
      <c r="L53" s="163"/>
      <c r="M53" s="164"/>
      <c r="N53" s="152"/>
      <c r="P53" s="157"/>
      <c r="Q53" s="161"/>
      <c r="R53" s="53"/>
      <c r="S53" s="53"/>
      <c r="T53" s="53"/>
      <c r="U53" s="53"/>
      <c r="V53" s="53"/>
      <c r="W53" s="158"/>
      <c r="X53" s="159"/>
      <c r="AC53" s="148"/>
    </row>
    <row r="54" spans="1:29" ht="17.25" customHeight="1">
      <c r="A54" s="39" t="s">
        <v>240</v>
      </c>
      <c r="C54" s="140" t="str">
        <f>"Ver."&amp;+$B$48&amp;"  Ver."&amp;+$B$50&amp;" Pl. 5-6"</f>
        <v>Ver.c  Ver.d Pl. 5-6</v>
      </c>
      <c r="D54" s="141" t="str">
        <f ca="1">"  "&amp;IF(N48="","",IF(ISERROR(VLOOKUP($A$4&amp;TEXT($A54,"000"),Sonntag!$B$23:$S$161,8,FALSE)),"",VLOOKUP($A$4&amp;TEXT($A54,"000"),Sonntag!$B$23:$S$161,8,FALSE)))&amp;" : "&amp;IF(N50="","",IF(ISERROR(VLOOKUP($A$4&amp;TEXT($A54,"000"),Sonntag!$B$23:$S$161,11,FALSE)),"",VLOOKUP($A$4&amp;TEXT($A54,"000"),Sonntag!$B$23:$S$161,11,FALSE)))</f>
        <v xml:space="preserve">  Pfalz : Westfalen</v>
      </c>
      <c r="E54" s="160"/>
      <c r="F54" s="142"/>
      <c r="G54" s="142"/>
      <c r="H54" s="142"/>
      <c r="I54" s="143"/>
      <c r="J54" s="144"/>
      <c r="K54" s="145">
        <f>IF(N54="","",IF(ISERROR(VLOOKUP($A$4&amp;TEXT($A$42,"000"),Sonntag!$B$23:$S$93,16,FALSE)),"",VLOOKUP($A$4&amp;TEXT($A54,"000"),Sonntag!$B$23:$S$93,16,FALSE)))</f>
        <v>34</v>
      </c>
      <c r="L54" s="48" t="s">
        <v>15</v>
      </c>
      <c r="M54" s="146">
        <f>IF(N54="","",IF(ISERROR(VLOOKUP($A$4&amp;TEXT($A$42,"000"),Sonntag!$B$23:$S$93,18,FALSE)),"",VLOOKUP($A$4&amp;TEXT($A54,"000"),Sonntag!$B$23:$S$93,18,FALSE)))</f>
        <v>35</v>
      </c>
      <c r="N54" s="152" t="s">
        <v>17</v>
      </c>
      <c r="P54" s="157">
        <v>4</v>
      </c>
      <c r="Q54" s="53" t="str">
        <f ca="1">"  "&amp;IF(K60&lt;M60,IF($Y54="","",IF(ISERROR(VLOOKUP($A$4&amp;TEXT($A60,"000"),Sonntag!$B$23:$T$139,8,FALSE)),"",VLOOKUP($A$4&amp;TEXT($A60,"000"),Sonntag!$B$23:$T$139,8,FALSE))),IF($Y54="","",IF(ISERROR(VLOOKUP($A$4&amp;TEXT($A60,"000"),Sonntag!$B$23:$T$139,11,FALSE)),"",VLOOKUP($A$4&amp;TEXT($A60,"000"),Sonntag!$B$23:$T$139,11,FALSE))))</f>
        <v xml:space="preserve">  Berlin</v>
      </c>
      <c r="R54" s="53"/>
      <c r="S54" s="53"/>
      <c r="T54" s="53"/>
      <c r="U54" s="53"/>
      <c r="V54" s="53"/>
      <c r="W54" s="158"/>
      <c r="X54" s="159"/>
      <c r="Y54" s="34" t="s">
        <v>17</v>
      </c>
      <c r="AC54" s="148"/>
    </row>
    <row r="55" spans="1:29" ht="18" customHeight="1">
      <c r="C55" s="175" t="s">
        <v>23</v>
      </c>
      <c r="D55" s="161"/>
      <c r="E55" s="159"/>
      <c r="F55" s="159"/>
      <c r="G55" s="159"/>
      <c r="H55" s="159"/>
      <c r="I55" s="159"/>
      <c r="J55" s="159"/>
      <c r="K55" s="162"/>
      <c r="L55" s="163"/>
      <c r="M55" s="164"/>
      <c r="N55" s="152"/>
      <c r="P55" s="157">
        <v>5</v>
      </c>
      <c r="Q55" s="53" t="str">
        <f ca="1">"  "&amp;IF(K54&gt;M54,IF($Y55="","",IF(ISERROR(VLOOKUP($A$4&amp;TEXT($A54,"000"),Sonntag!$B$23:$T$139,8,FALSE)),"",VLOOKUP($A$4&amp;TEXT($A54,"000"),Sonntag!$B$23:$T$139,8,FALSE))),IF($Y55="","",IF(ISERROR(VLOOKUP($A$4&amp;TEXT($A54,"000"),Sonntag!$B$23:$T$139,11,FALSE)),"",VLOOKUP($A$4&amp;TEXT($A54,"000"),Sonntag!$B$23:$T$139,11,FALSE))))</f>
        <v xml:space="preserve">  Westfalen</v>
      </c>
      <c r="R55" s="53"/>
      <c r="S55" s="53"/>
      <c r="T55" s="53"/>
      <c r="U55" s="53"/>
      <c r="V55" s="53"/>
      <c r="W55" s="158"/>
      <c r="Y55" s="34" t="s">
        <v>17</v>
      </c>
      <c r="AC55" s="148"/>
    </row>
    <row r="56" spans="1:29" ht="17.25" customHeight="1">
      <c r="A56" s="39" t="s">
        <v>143</v>
      </c>
      <c r="B56" s="34" t="s">
        <v>24</v>
      </c>
      <c r="C56" s="140" t="str">
        <f>"1."&amp;+$D$5&amp;"  Sieger "&amp;B50</f>
        <v>1.Gruppe E  Sieger d</v>
      </c>
      <c r="D56" s="141" t="str">
        <f ca="1">"  "&amp;IF(Y31="","",IF(ISERROR(VLOOKUP($A$4&amp;TEXT($A56,"000"),Sonntag!$B$23:$S$161,8,FALSE)),"",VLOOKUP($A$4&amp;TEXT($A56,"000"),Sonntag!$B$23:$S$161,8,FALSE)))&amp;" : "&amp;IF(N50="","",IF(ISERROR(VLOOKUP($A$4&amp;TEXT($A56,"000"),Sonntag!$B$23:$S$161,11,FALSE)),"",VLOOKUP($A$4&amp;TEXT($A56,"000"),Sonntag!$B$23:$S$161,11,FALSE)))</f>
        <v xml:space="preserve">  Bremen : Berlin</v>
      </c>
      <c r="E56" s="155"/>
      <c r="F56" s="165"/>
      <c r="G56" s="165"/>
      <c r="H56" s="165"/>
      <c r="I56" s="166"/>
      <c r="J56" s="83"/>
      <c r="K56" s="145">
        <f>IF(N56="","",IF(ISERROR(VLOOKUP($A$4&amp;TEXT($A$42,"000"),Sonntag!$B$23:$S$93,16,FALSE)),"",VLOOKUP($A$4&amp;TEXT($A56,"000"),Sonntag!$B$23:$S$93,16,FALSE)))</f>
        <v>37</v>
      </c>
      <c r="L56" s="48" t="s">
        <v>15</v>
      </c>
      <c r="M56" s="146">
        <f>IF(N56="","",IF(ISERROR(VLOOKUP($A$4&amp;TEXT($A$42,"000"),Sonntag!$B$23:$S$93,18,FALSE)),"",VLOOKUP($A$4&amp;TEXT($A56,"000"),Sonntag!$B$23:$S$93,18,FALSE)))</f>
        <v>24</v>
      </c>
      <c r="N56" s="152" t="s">
        <v>17</v>
      </c>
      <c r="P56" s="157">
        <v>6</v>
      </c>
      <c r="Q56" s="53" t="str">
        <f ca="1">"  "&amp;IF(K54&lt;M54,IF($Y56="","",IF(ISERROR(VLOOKUP($A$4&amp;TEXT($A54,"000"),Sonntag!$B$23:$T$139,8,FALSE)),"",VLOOKUP($A$4&amp;TEXT($A54,"000"),Sonntag!$B$23:$T$139,8,FALSE))),IF($Y56="","",IF(ISERROR(VLOOKUP($A$4&amp;TEXT($A54,"000"),Sonntag!$B$23:$T$139,11,FALSE)),"",VLOOKUP($A$4&amp;TEXT($A54,"000"),Sonntag!$B$23:$T$139,11,FALSE))))</f>
        <v xml:space="preserve">  Pfalz</v>
      </c>
      <c r="R56" s="53"/>
      <c r="S56" s="53"/>
      <c r="T56" s="53"/>
      <c r="U56" s="53"/>
      <c r="V56" s="53"/>
      <c r="W56" s="158"/>
      <c r="Y56" s="34" t="s">
        <v>17</v>
      </c>
      <c r="AC56" s="148"/>
    </row>
    <row r="57" spans="1:29" ht="4.7" customHeight="1">
      <c r="A57" s="39"/>
      <c r="C57" s="167"/>
      <c r="D57" s="161"/>
      <c r="E57" s="161"/>
      <c r="F57" s="167"/>
      <c r="G57" s="159"/>
      <c r="H57" s="159"/>
      <c r="I57" s="159"/>
      <c r="J57" s="159"/>
      <c r="K57" s="162"/>
      <c r="L57" s="163"/>
      <c r="M57" s="164"/>
      <c r="N57" s="152"/>
      <c r="P57" s="157"/>
      <c r="Q57" s="53"/>
      <c r="R57" s="53"/>
      <c r="S57" s="53"/>
      <c r="T57" s="53"/>
      <c r="U57" s="53"/>
      <c r="V57" s="53"/>
      <c r="W57" s="158"/>
      <c r="AC57" s="148"/>
    </row>
    <row r="58" spans="1:29" ht="17.25" customHeight="1">
      <c r="A58" s="39" t="s">
        <v>144</v>
      </c>
      <c r="B58" s="34" t="s">
        <v>25</v>
      </c>
      <c r="C58" s="140" t="str">
        <f>"1."&amp;+$D24&amp;"  Sieger "&amp;B48</f>
        <v>1.Gruppe F  Sieger c</v>
      </c>
      <c r="D58" s="141" t="str">
        <f ca="1">"  "&amp;IF(Y31="","",IF(ISERROR(VLOOKUP($A$4&amp;TEXT($A58,"000"),Sonntag!$B$23:$S$161,8,FALSE)),"",VLOOKUP($A$4&amp;TEXT($A58,"000"),Sonntag!$B$23:$S$161,8,FALSE)))&amp;" : "&amp;IF(N48="","",IF(ISERROR(VLOOKUP($A$4&amp;TEXT($A58,"000"),Sonntag!$B$23:$S$161,11,FALSE)),"",VLOOKUP($A$4&amp;TEXT($A58,"000"),Sonntag!$B$23:$S$161,11,FALSE)))</f>
        <v xml:space="preserve">  Niedersachsen : Rheinland</v>
      </c>
      <c r="E58" s="155"/>
      <c r="F58" s="165"/>
      <c r="G58" s="165"/>
      <c r="H58" s="165"/>
      <c r="I58" s="165"/>
      <c r="J58" s="83"/>
      <c r="K58" s="145">
        <f>IF(N58="","",IF(ISERROR(VLOOKUP($A$4&amp;TEXT($A$42,"000"),Sonntag!$B$23:$S$93,16,FALSE)),"",VLOOKUP($A$4&amp;TEXT($A58,"000"),Sonntag!$B$23:$S$93,16,FALSE)))</f>
        <v>21</v>
      </c>
      <c r="L58" s="48" t="s">
        <v>15</v>
      </c>
      <c r="M58" s="146">
        <f>IF(N58="","",IF(ISERROR(VLOOKUP($A$4&amp;TEXT($A$42,"000"),Sonntag!$B$23:$S$93,18,FALSE)),"",VLOOKUP($A$4&amp;TEXT($A58,"000"),Sonntag!$B$23:$S$93,18,FALSE)))</f>
        <v>29</v>
      </c>
      <c r="N58" s="152" t="s">
        <v>17</v>
      </c>
      <c r="P58" s="157">
        <v>7</v>
      </c>
      <c r="Q58" s="306" t="str">
        <f>IF(Y58="","","  "&amp;IF($AR$29=1,$AE$29,IF($AR$31=1,$AE$31,IF($AR$33=1,$AE$33,0))))</f>
        <v xml:space="preserve">  Baden</v>
      </c>
      <c r="R58" s="53"/>
      <c r="S58" s="53"/>
      <c r="T58" s="53"/>
      <c r="U58" s="53"/>
      <c r="V58" s="53"/>
      <c r="W58" s="158"/>
      <c r="Y58" s="34" t="s">
        <v>17</v>
      </c>
      <c r="AC58" s="148"/>
    </row>
    <row r="59" spans="1:29" ht="18" customHeight="1">
      <c r="A59" s="39"/>
      <c r="C59" s="176" t="s">
        <v>211</v>
      </c>
      <c r="D59" s="161"/>
      <c r="E59" s="161"/>
      <c r="F59" s="167"/>
      <c r="G59" s="159"/>
      <c r="H59" s="159"/>
      <c r="I59" s="159"/>
      <c r="J59" s="159"/>
      <c r="K59" s="162"/>
      <c r="L59" s="163"/>
      <c r="M59" s="164"/>
      <c r="N59" s="152"/>
      <c r="P59" s="157">
        <v>8</v>
      </c>
      <c r="Q59" s="306" t="str">
        <f>IF(Y59="","","  "&amp;IF($AR$29=2,$AE$29,IF($AR$31=2,$AE$31,IF($AR$33=2,$AE$33,0))))</f>
        <v xml:space="preserve">  Schwaben</v>
      </c>
      <c r="R59" s="53"/>
      <c r="S59" s="53"/>
      <c r="T59" s="53"/>
      <c r="U59" s="53"/>
      <c r="V59" s="53"/>
      <c r="W59" s="158"/>
      <c r="Y59" s="34" t="s">
        <v>17</v>
      </c>
      <c r="AC59" s="148"/>
    </row>
    <row r="60" spans="1:29" ht="17.25" customHeight="1">
      <c r="A60" s="39" t="s">
        <v>241</v>
      </c>
      <c r="C60" s="168" t="str">
        <f>"Ver."&amp;B56&amp;"/"&amp;B58&amp;"         Pl.3-4"</f>
        <v>Ver.e/f         Pl.3-4</v>
      </c>
      <c r="D60" s="141" t="str">
        <f ca="1">"  "&amp;IF(N56="","",IF(ISERROR(VLOOKUP($A$4&amp;TEXT($A60,"000"),Sonntag!$B$23:$S$161,8,FALSE)),"",VLOOKUP($A$4&amp;TEXT($A60,"000"),Sonntag!$B$23:$S$161,8,FALSE)))&amp;" : "&amp;IF(N58="","",IF(ISERROR(VLOOKUP($A$4&amp;TEXT($A60,"000"),Sonntag!$B$23:$S$161,11,FALSE)),"",VLOOKUP($A$4&amp;TEXT($A60,"000"),Sonntag!$B$23:$S$161,11,FALSE)))</f>
        <v xml:space="preserve">  Berlin : Niedersachsen</v>
      </c>
      <c r="E60" s="155"/>
      <c r="F60" s="165"/>
      <c r="G60" s="165"/>
      <c r="H60" s="165"/>
      <c r="I60" s="165"/>
      <c r="J60" s="83"/>
      <c r="K60" s="145">
        <f>IF(N60="","",IF(ISERROR(VLOOKUP($A$4&amp;TEXT($A$42,"000"),Sonntag!$B$23:$S$93,16,FALSE)),"",VLOOKUP($A$4&amp;TEXT($A60,"000"),Sonntag!$B$23:$S$93,16,FALSE)))</f>
        <v>25</v>
      </c>
      <c r="L60" s="48" t="s">
        <v>15</v>
      </c>
      <c r="M60" s="146">
        <f>IF(N60="","",IF(ISERROR(VLOOKUP($A$4&amp;TEXT($A$42,"000"),Sonntag!$B$23:$S$93,18,FALSE)),"",VLOOKUP($A$4&amp;TEXT($A60,"000"),Sonntag!$B$23:$S$93,18,FALSE)))</f>
        <v>33</v>
      </c>
      <c r="N60" s="35" t="s">
        <v>17</v>
      </c>
      <c r="P60" s="157">
        <v>9</v>
      </c>
      <c r="Q60" s="306" t="str">
        <f>IF(Y60="","","  "&amp;IF($AR$29=3,$AE$29,IF($AR$31=3,$AE$31,IF($AR$33=3,$AE$33,0))))</f>
        <v/>
      </c>
      <c r="R60" s="53"/>
      <c r="S60" s="53"/>
      <c r="T60" s="53"/>
      <c r="U60" s="53"/>
      <c r="V60" s="53"/>
      <c r="W60" s="158"/>
      <c r="AC60" s="148"/>
    </row>
    <row r="61" spans="1:29" ht="4.7" customHeight="1">
      <c r="A61" s="39"/>
      <c r="C61" s="159"/>
      <c r="D61" s="161"/>
      <c r="E61" s="161"/>
      <c r="F61" s="159"/>
      <c r="G61" s="159"/>
      <c r="H61" s="159"/>
      <c r="I61" s="167"/>
      <c r="J61" s="159"/>
      <c r="K61" s="162"/>
      <c r="L61" s="163"/>
      <c r="M61" s="164"/>
      <c r="N61" s="152"/>
      <c r="P61" s="169"/>
      <c r="Q61" s="161"/>
      <c r="R61" s="53"/>
      <c r="S61" s="53"/>
      <c r="T61" s="53"/>
      <c r="U61" s="53"/>
      <c r="V61" s="53"/>
      <c r="W61" s="158"/>
      <c r="AC61" s="148"/>
    </row>
    <row r="62" spans="1:29" ht="17.25" customHeight="1">
      <c r="A62" s="39"/>
      <c r="C62" s="177" t="s">
        <v>26</v>
      </c>
      <c r="D62" s="53"/>
      <c r="E62" s="161"/>
      <c r="F62" s="159"/>
      <c r="G62" s="159"/>
      <c r="H62" s="41"/>
      <c r="I62" s="170"/>
      <c r="J62" s="41"/>
      <c r="K62" s="162"/>
      <c r="L62" s="163"/>
      <c r="M62" s="164"/>
      <c r="N62" s="152"/>
      <c r="P62" s="171">
        <v>10</v>
      </c>
      <c r="Q62" s="188"/>
      <c r="R62" s="55"/>
      <c r="S62" s="55"/>
      <c r="T62" s="55"/>
      <c r="U62" s="55"/>
      <c r="V62" s="55"/>
      <c r="W62" s="172"/>
      <c r="AC62" s="148"/>
    </row>
    <row r="63" spans="1:29" ht="18" customHeight="1">
      <c r="A63" s="39" t="s">
        <v>242</v>
      </c>
      <c r="C63" s="168" t="str">
        <f>"S."&amp;B56&amp;"/"&amp;B58&amp;"         1./2. Pl."</f>
        <v>S.e/f         1./2. Pl.</v>
      </c>
      <c r="D63" s="141" t="str">
        <f ca="1">"  "&amp;IF(N56="","",IF(ISERROR(VLOOKUP($A$4&amp;TEXT($A63,"000"),Sonntag!$B$23:$S$161,8,FALSE)),"",VLOOKUP($A$4&amp;TEXT($A63,"000"),Sonntag!$B$23:$S$161,8,FALSE)))&amp;" : "&amp;IF(N58="","",IF(ISERROR(VLOOKUP($A$4&amp;TEXT($A63,"000"),Sonntag!$B$23:$S$161,11,FALSE)),"",VLOOKUP($A$4&amp;TEXT($A63,"000"),Sonntag!$B$23:$S$161,11,FALSE)))</f>
        <v xml:space="preserve">  Bremen : Rheinland</v>
      </c>
      <c r="E63" s="155"/>
      <c r="F63" s="173"/>
      <c r="G63" s="174"/>
      <c r="H63" s="165"/>
      <c r="I63" s="165"/>
      <c r="J63" s="83"/>
      <c r="K63" s="145">
        <f>IF(N63="","",IF(ISERROR(VLOOKUP($A$4&amp;TEXT($A$42,"000"),Sonntag!$B$23:$S$93,16,FALSE)),"",VLOOKUP($A$4&amp;TEXT($A63,"000"),Sonntag!$B$23:$S$93,16,FALSE)))</f>
        <v>29</v>
      </c>
      <c r="L63" s="48" t="s">
        <v>15</v>
      </c>
      <c r="M63" s="146">
        <f>IF(N63="","",IF(ISERROR(VLOOKUP($A$4&amp;TEXT($A$42,"000"),Sonntag!$B$23:$S$93,18,FALSE)),"",VLOOKUP($A$4&amp;TEXT($A63,"000"),Sonntag!$B$23:$S$93,18,FALSE)))</f>
        <v>27</v>
      </c>
      <c r="N63" s="152" t="s">
        <v>17</v>
      </c>
      <c r="AC63" s="148"/>
    </row>
    <row r="64" spans="1:29" ht="17.25" customHeight="1">
      <c r="A64" s="39"/>
      <c r="N64" s="152"/>
      <c r="AC64" s="148"/>
    </row>
    <row r="65" spans="2:14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</row>
  </sheetData>
  <mergeCells count="1">
    <mergeCell ref="Q2:W2"/>
  </mergeCells>
  <conditionalFormatting sqref="H25 G31:H31 J31:K31 M31 E31 G33:H33 J33:K33 E33 G29:H29 J29 E29 P33 M33:N33 G27 E27 H6 G12:H12 J12:K12 M12 E12 G14:H14 J14:K14 E14 G10:H10 J10 E10 P14 M14:N14 J6:K6 M6:N6 P6:Q6 S6 S8 S10 Q12 S12 N10 P10:Q10 P8:Q8 K8 M8:N8 J25:K25 M25:N25 P25:Q25 S25 S27 S29 Q31 S31 N29 P29:Q29 K27 M27:N27 P27:Q27">
    <cfRule type="cellIs" dxfId="7" priority="2" stopIfTrue="1" operator="lessThan">
      <formula>1</formula>
    </cfRule>
  </conditionalFormatting>
  <conditionalFormatting sqref="E8 G8">
    <cfRule type="cellIs" dxfId="6" priority="1" stopIfTrue="1" operator="lessThan">
      <formula>1</formula>
    </cfRule>
  </conditionalFormatting>
  <printOptions horizontalCentered="1" verticalCentered="1"/>
  <pageMargins left="0.35433070866141736" right="0.35433070866141736" top="0.19685039370078741" bottom="0.39370078740157483" header="0.51181102362204722" footer="0.51181102362204722"/>
  <pageSetup paperSize="9" scale="90" orientation="portrait" r:id="rId1"/>
  <headerFooter alignWithMargins="0">
    <oddFooter>&amp;R&amp;6&amp;F; 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6">
    <tabColor rgb="FF00B0F0"/>
  </sheetPr>
  <dimension ref="A1:AT65"/>
  <sheetViews>
    <sheetView showGridLines="0" topLeftCell="B26" zoomScale="90" zoomScaleNormal="90" workbookViewId="0">
      <selection activeCell="P64" sqref="P64"/>
    </sheetView>
  </sheetViews>
  <sheetFormatPr baseColWidth="10" defaultRowHeight="12.75" outlineLevelRow="1" outlineLevelCol="1"/>
  <cols>
    <col min="1" max="1" width="3" style="34" hidden="1" customWidth="1" outlineLevel="1"/>
    <col min="2" max="2" width="2" style="34" customWidth="1" collapsed="1"/>
    <col min="3" max="3" width="6.85546875" style="34" customWidth="1"/>
    <col min="4" max="4" width="24.7109375" style="34" customWidth="1"/>
    <col min="5" max="5" width="4" style="34" customWidth="1"/>
    <col min="6" max="6" width="1.7109375" style="34" customWidth="1"/>
    <col min="7" max="8" width="4" style="34" customWidth="1"/>
    <col min="9" max="9" width="1.7109375" style="34" customWidth="1"/>
    <col min="10" max="11" width="4" style="34" customWidth="1"/>
    <col min="12" max="12" width="1.7109375" style="34" customWidth="1"/>
    <col min="13" max="14" width="4" style="34" customWidth="1"/>
    <col min="15" max="15" width="1.7109375" style="34" customWidth="1"/>
    <col min="16" max="17" width="4" style="34" customWidth="1"/>
    <col min="18" max="18" width="1.7109375" style="34" customWidth="1"/>
    <col min="19" max="20" width="4" style="34" customWidth="1"/>
    <col min="21" max="21" width="1.7109375" style="34" customWidth="1"/>
    <col min="22" max="22" width="4" style="34" customWidth="1"/>
    <col min="23" max="23" width="4.7109375" style="34" customWidth="1"/>
    <col min="24" max="24" width="6.5703125" style="34" hidden="1" customWidth="1" outlineLevel="1"/>
    <col min="25" max="25" width="4" style="34" customWidth="1" collapsed="1"/>
    <col min="26" max="26" width="4.85546875" style="34" customWidth="1"/>
    <col min="27" max="27" width="1.7109375" style="34" customWidth="1"/>
    <col min="28" max="28" width="4" style="34" customWidth="1"/>
    <col min="29" max="29" width="24" style="34" bestFit="1" customWidth="1"/>
    <col min="30" max="30" width="4.7109375" style="34" customWidth="1"/>
    <col min="31" max="31" width="24" style="34" bestFit="1" customWidth="1"/>
    <col min="32" max="32" width="3" style="34" bestFit="1" customWidth="1"/>
    <col min="33" max="33" width="1.28515625" style="34" customWidth="1"/>
    <col min="34" max="35" width="3" style="34" bestFit="1" customWidth="1"/>
    <col min="36" max="36" width="1.28515625" style="34" customWidth="1"/>
    <col min="37" max="38" width="3" style="34" bestFit="1" customWidth="1"/>
    <col min="39" max="39" width="1.28515625" style="34" customWidth="1"/>
    <col min="40" max="41" width="3" style="34" bestFit="1" customWidth="1"/>
    <col min="42" max="42" width="1.28515625" style="34" customWidth="1"/>
    <col min="43" max="44" width="3" style="34" bestFit="1" customWidth="1"/>
    <col min="45" max="45" width="4.7109375" style="34" customWidth="1"/>
    <col min="46" max="47" width="3" style="34" bestFit="1" customWidth="1"/>
    <col min="48" max="48" width="1.28515625" style="34" customWidth="1"/>
    <col min="49" max="49" width="3" style="34" bestFit="1" customWidth="1"/>
    <col min="50" max="16384" width="11.42578125" style="34"/>
  </cols>
  <sheetData>
    <row r="1" spans="1:31" ht="24.95" customHeight="1">
      <c r="B1" s="183"/>
      <c r="C1" s="189" t="str">
        <f>Daten!A1&amp;" "&amp;Daten!B1&amp;" "&amp;Daten!L1</f>
        <v>35. Deutschlandpokal der Jugend 2018</v>
      </c>
      <c r="D1" s="184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31" ht="21.75" customHeight="1">
      <c r="C2" s="68"/>
      <c r="D2" s="69" t="s">
        <v>27</v>
      </c>
      <c r="E2" s="70"/>
      <c r="F2" s="71"/>
      <c r="G2" s="70"/>
      <c r="H2" s="53"/>
      <c r="I2" s="53"/>
      <c r="J2" s="53"/>
      <c r="K2" s="72"/>
      <c r="L2" s="53"/>
      <c r="M2" s="53"/>
      <c r="N2" s="53"/>
      <c r="O2" s="53"/>
      <c r="P2" s="53"/>
      <c r="Q2" s="370" t="str">
        <f>+Daten!C23</f>
        <v>männl. Jgd. 15-18</v>
      </c>
      <c r="R2" s="371"/>
      <c r="S2" s="371"/>
      <c r="T2" s="371"/>
      <c r="U2" s="371"/>
      <c r="V2" s="371"/>
      <c r="W2" s="372"/>
    </row>
    <row r="3" spans="1:31" ht="6.75" customHeight="1">
      <c r="C3" s="73"/>
      <c r="D3" s="53"/>
      <c r="E3" s="70"/>
      <c r="F3" s="71"/>
      <c r="G3" s="70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73"/>
      <c r="T3" s="53"/>
      <c r="U3" s="53"/>
      <c r="V3" s="53"/>
      <c r="W3" s="53"/>
    </row>
    <row r="4" spans="1:31" ht="21.75" hidden="1" customHeight="1" outlineLevel="1">
      <c r="A4" s="34" t="s">
        <v>178</v>
      </c>
      <c r="C4" s="74"/>
      <c r="D4" s="75"/>
      <c r="E4" s="70"/>
      <c r="F4" s="53">
        <v>1</v>
      </c>
      <c r="G4" s="70"/>
      <c r="H4" s="53"/>
      <c r="I4" s="53">
        <v>2</v>
      </c>
      <c r="J4" s="53"/>
      <c r="K4" s="53"/>
      <c r="L4" s="53">
        <v>3</v>
      </c>
      <c r="M4" s="53"/>
      <c r="N4" s="53"/>
      <c r="O4" s="53">
        <v>4</v>
      </c>
      <c r="P4" s="53"/>
      <c r="Q4" s="53"/>
      <c r="R4" s="53">
        <v>5</v>
      </c>
      <c r="S4" s="74"/>
      <c r="T4" s="75"/>
      <c r="U4" s="75"/>
      <c r="V4" s="75"/>
      <c r="W4" s="75"/>
    </row>
    <row r="5" spans="1:31" ht="12.75" customHeight="1" collapsed="1">
      <c r="C5" s="76"/>
      <c r="D5" s="77" t="str">
        <f>+Daten!C24</f>
        <v>Gruppe G</v>
      </c>
      <c r="E5" s="78"/>
      <c r="F5" s="79" t="str">
        <f>+D6</f>
        <v>Berlin</v>
      </c>
      <c r="G5" s="80"/>
      <c r="H5" s="81"/>
      <c r="I5" s="82" t="str">
        <f>+D8</f>
        <v>Westfalen</v>
      </c>
      <c r="J5" s="83"/>
      <c r="K5" s="84"/>
      <c r="L5" s="82" t="str">
        <f>+D10</f>
        <v>Baden</v>
      </c>
      <c r="M5" s="83"/>
      <c r="N5" s="84"/>
      <c r="O5" s="82" t="str">
        <f>+D12</f>
        <v>Niedersachsen</v>
      </c>
      <c r="P5" s="83"/>
      <c r="Q5" s="84"/>
      <c r="R5" s="85" t="str">
        <f>+D14</f>
        <v>Pfalz</v>
      </c>
      <c r="S5" s="83"/>
      <c r="T5" s="81"/>
      <c r="U5" s="86" t="s">
        <v>12</v>
      </c>
      <c r="V5" s="87"/>
      <c r="W5" s="88" t="s">
        <v>13</v>
      </c>
    </row>
    <row r="6" spans="1:31" ht="15.2" customHeight="1">
      <c r="A6" s="34">
        <v>1</v>
      </c>
      <c r="C6" s="89" t="str">
        <f>IF(Daten!B25="","",Daten!B25)</f>
        <v/>
      </c>
      <c r="D6" s="90" t="str">
        <f>IF(Daten!C25="","",Daten!C25)</f>
        <v>Berlin</v>
      </c>
      <c r="E6" s="91"/>
      <c r="F6" s="92"/>
      <c r="G6" s="93"/>
      <c r="H6" s="94">
        <f>IF(ISERROR(VLOOKUP($A$4&amp;TEXT($A6,"00")&amp;TEXT(I$4,"00"),Samstag!$B$24:$S$162,16,FALSE)),"",VLOOKUP($A$4&amp;TEXT($A6,"00")&amp;TEXT(I$4,"00"),Samstag!$B$24:$S$162,16,FALSE))</f>
        <v>25</v>
      </c>
      <c r="I6" s="49" t="s">
        <v>15</v>
      </c>
      <c r="J6" s="95">
        <f>IF(ISERROR(VLOOKUP($A$4&amp;TEXT($A6,"00")&amp;TEXT(I$4,"00"),Samstag!$B$24:$S$162,18,FALSE)),"",VLOOKUP($A$4&amp;TEXT($A6,"00")&amp;TEXT(I$4,"00"),Samstag!$B$24:$S$162,18,FALSE))</f>
        <v>41</v>
      </c>
      <c r="K6" s="94">
        <f>IF(ISERROR(VLOOKUP($A$4&amp;TEXT($A6,"00")&amp;TEXT(L$4,"00"),Samstag!$B$24:$S$162,16,FALSE)),"",VLOOKUP($A$4&amp;TEXT($A6,"00")&amp;TEXT(L$4,"00"),Samstag!$B$24:$S$162,16,FALSE))</f>
        <v>31</v>
      </c>
      <c r="L6" s="49" t="s">
        <v>15</v>
      </c>
      <c r="M6" s="95">
        <f>IF(ISERROR(VLOOKUP($A$4&amp;TEXT($A6,"00")&amp;TEXT(L$4,"00"),Samstag!$B$24:$S$162,18,FALSE)),"",VLOOKUP($A$4&amp;TEXT($A6,"00")&amp;TEXT(L$4,"00"),Samstag!$B$24:$S$162,18,FALSE))</f>
        <v>40</v>
      </c>
      <c r="N6" s="94">
        <f>IF(ISERROR(VLOOKUP($A$4&amp;TEXT($A6,"00")&amp;TEXT(O$4,"00"),Samstag!$B$24:$S$162,16,FALSE)),"",VLOOKUP($A$4&amp;TEXT($A6,"00")&amp;TEXT(O$4,"00"),Samstag!$B$24:$S$162,16,FALSE))</f>
        <v>34</v>
      </c>
      <c r="O6" s="49" t="s">
        <v>15</v>
      </c>
      <c r="P6" s="95">
        <f>IF(ISERROR(VLOOKUP($A$4&amp;TEXT($A6,"00")&amp;TEXT(O$4,"00"),Samstag!$B$24:$S$162,18,FALSE)),"",VLOOKUP($A$4&amp;TEXT($A6,"00")&amp;TEXT(O$4,"00"),Samstag!$B$24:$S$162,18,FALSE))</f>
        <v>39</v>
      </c>
      <c r="Q6" s="94">
        <f>IF(ISERROR(VLOOKUP($A$4&amp;TEXT($A6,"00")&amp;TEXT(R$4,"00"),Samstag!$B$24:$S$162,16,FALSE)),"",VLOOKUP($A$4&amp;TEXT($A6,"00")&amp;TEXT(R$4,"00"),Samstag!$B$24:$S$162,16,FALSE))</f>
        <v>32</v>
      </c>
      <c r="R6" s="49" t="s">
        <v>15</v>
      </c>
      <c r="S6" s="95">
        <f>IF(ISERROR(VLOOKUP($A$4&amp;TEXT($A6,"00")&amp;TEXT(R$4,"00"),Samstag!$B$24:$S$162,18,FALSE)),"",VLOOKUP($A$4&amp;TEXT($A6,"00")&amp;TEXT(R$4,"00"),Samstag!$B$24:$S$162,18,FALSE))</f>
        <v>44</v>
      </c>
      <c r="T6" s="96">
        <f>IF(Y7="","",SUM(E6,H6,K6,N6,Q6))</f>
        <v>122</v>
      </c>
      <c r="U6" s="49" t="s">
        <v>15</v>
      </c>
      <c r="V6" s="97">
        <f>IF(Y7="","",SUM(G6,J6,M6,P6,S6))</f>
        <v>164</v>
      </c>
      <c r="W6" s="98">
        <f>IF(Y6="","",RANK(X7,($X$7,$X$9,$X$11,$X$13,$X$15),0))</f>
        <v>5</v>
      </c>
      <c r="X6" s="308"/>
      <c r="Y6" s="99" t="s">
        <v>17</v>
      </c>
      <c r="AB6" s="34">
        <v>1</v>
      </c>
      <c r="AC6" s="100" t="str">
        <f>IF(W6="","",IF($W$6=1,$D$6,IF($W$8=1,$D$8,IF($W$10=1,$D$10,IF($W$12=1,$D$12,IF($W$14=1,$D$14,0))))))</f>
        <v>Westfalen</v>
      </c>
      <c r="AD6" s="101"/>
      <c r="AE6" s="101"/>
    </row>
    <row r="7" spans="1:31" ht="11.1" customHeight="1">
      <c r="C7" s="111"/>
      <c r="D7" s="185"/>
      <c r="E7" s="103"/>
      <c r="F7" s="104"/>
      <c r="G7" s="105"/>
      <c r="H7" s="106">
        <f>IF(OR(H6="",H6=0),"",IF(H6&gt;J6,2,IF(H6&lt;J6,0,1)))</f>
        <v>0</v>
      </c>
      <c r="I7" s="40" t="s">
        <v>16</v>
      </c>
      <c r="J7" s="107">
        <f>IF(OR(J6="",J6=0),"",IF(J6&gt;H6,2,IF(J6&lt;H6,0,1)))</f>
        <v>2</v>
      </c>
      <c r="K7" s="106">
        <f>IF(OR(K6="",K6=0),"",IF(K6&gt;M6,2,IF(K6&lt;M6,0,1)))</f>
        <v>0</v>
      </c>
      <c r="L7" s="40" t="s">
        <v>16</v>
      </c>
      <c r="M7" s="107">
        <f>IF(OR(M6="",M6=0),"",IF(M6&gt;K6,2,IF(M6&lt;K6,0,1)))</f>
        <v>2</v>
      </c>
      <c r="N7" s="106">
        <f>IF(OR(N6="",N6=0),"",IF(N6&gt;P6,2,IF(N6&lt;P6,0,1)))</f>
        <v>0</v>
      </c>
      <c r="O7" s="40" t="s">
        <v>16</v>
      </c>
      <c r="P7" s="107">
        <f>IF(OR(P6="",P6=0),"",IF(P6&gt;N6,2,IF(P6&lt;N6,0,1)))</f>
        <v>2</v>
      </c>
      <c r="Q7" s="106">
        <f>IF(OR(Q6="",Q6=0),"",IF(Q6&gt;S6,2,IF(Q6&lt;S6,0,1)))</f>
        <v>0</v>
      </c>
      <c r="R7" s="40" t="s">
        <v>16</v>
      </c>
      <c r="S7" s="107">
        <f>IF(OR(S6="",S6=0),"",IF(S6&gt;Q6,2,IF(S6&lt;Q6,0,1)))</f>
        <v>2</v>
      </c>
      <c r="T7" s="106">
        <f>IF(Y7="","",SUM(E7,H7,K7,N7,Q7))</f>
        <v>0</v>
      </c>
      <c r="U7" s="40" t="s">
        <v>16</v>
      </c>
      <c r="V7" s="107">
        <f>IF(Y7="","",SUM(G7,J7,M7,P7,S7))</f>
        <v>8</v>
      </c>
      <c r="W7" s="108"/>
      <c r="X7" s="309">
        <f>+(T7-V7)+T6/V6+T7</f>
        <v>-7.2560975609756095</v>
      </c>
      <c r="Y7" s="99" t="s">
        <v>17</v>
      </c>
      <c r="AC7" s="100"/>
    </row>
    <row r="8" spans="1:31" ht="15.2" customHeight="1">
      <c r="A8" s="34">
        <v>2</v>
      </c>
      <c r="C8" s="89" t="str">
        <f>IF(Daten!B26="","",Daten!B26)</f>
        <v/>
      </c>
      <c r="D8" s="90" t="str">
        <f>IF(Daten!C26="","",Daten!C26)</f>
        <v>Westfalen</v>
      </c>
      <c r="E8" s="94">
        <f>IF(J6="","",J6)</f>
        <v>41</v>
      </c>
      <c r="F8" s="49" t="s">
        <v>15</v>
      </c>
      <c r="G8" s="95">
        <f>IF(H6="","",H6)</f>
        <v>25</v>
      </c>
      <c r="H8" s="91"/>
      <c r="I8" s="92"/>
      <c r="J8" s="93"/>
      <c r="K8" s="367">
        <f>IF(ISERROR(VLOOKUP($A$4&amp;TEXT($A8,"00")&amp;TEXT(L$4,"00"),Samstag!$B$24:$S$162,16,FALSE)),"",VLOOKUP($A$4&amp;TEXT($A8,"00")&amp;TEXT(L$4,"00"),Samstag!$B$24:$S$162,16,FALSE))</f>
        <v>37</v>
      </c>
      <c r="L8" s="368" t="s">
        <v>15</v>
      </c>
      <c r="M8" s="369">
        <f>IF(ISERROR(VLOOKUP($A$4&amp;TEXT($A8,"00")&amp;TEXT(L$4,"00"),Samstag!$B$24:$S$162,18,FALSE)),"",VLOOKUP($A$4&amp;TEXT($A8,"00")&amp;TEXT(L$4,"00"),Samstag!$B$24:$S$162,18,FALSE))</f>
        <v>30</v>
      </c>
      <c r="N8" s="94">
        <f>IF(ISERROR(VLOOKUP($A$4&amp;TEXT($A8,"00")&amp;TEXT(O$4,"00"),Samstag!$B$24:$S$162,16,FALSE)),"",VLOOKUP($A$4&amp;TEXT($A8,"00")&amp;TEXT(O$4,"00"),Samstag!$B$24:$S$162,16,FALSE))</f>
        <v>34</v>
      </c>
      <c r="O8" s="49" t="s">
        <v>15</v>
      </c>
      <c r="P8" s="95">
        <f>IF(ISERROR(VLOOKUP($A$4&amp;TEXT($A8,"00")&amp;TEXT(O$4,"00"),Samstag!$B$24:$S$162,18,FALSE)),"",VLOOKUP($A$4&amp;TEXT($A8,"00")&amp;TEXT(O$4,"00"),Samstag!$B$24:$S$162,18,FALSE))</f>
        <v>33</v>
      </c>
      <c r="Q8" s="367">
        <f>IF(ISERROR(VLOOKUP($A$4&amp;TEXT($A8,"00")&amp;TEXT(R$4,"00"),Samstag!$B$24:$S$162,16,FALSE)),"",VLOOKUP($A$4&amp;TEXT($A8,"00")&amp;TEXT(R$4,"00"),Samstag!$B$24:$S$162,16,FALSE))</f>
        <v>37</v>
      </c>
      <c r="R8" s="368" t="s">
        <v>15</v>
      </c>
      <c r="S8" s="369">
        <f>IF(ISERROR(VLOOKUP($A$4&amp;TEXT($A8,"00")&amp;TEXT(R$4,"00"),Samstag!$B$24:$S$162,18,FALSE)),"",VLOOKUP($A$4&amp;TEXT($A8,"00")&amp;TEXT(R$4,"00"),Samstag!$B$24:$S$162,18,FALSE))</f>
        <v>27</v>
      </c>
      <c r="T8" s="96">
        <f>IF(Y9="","",SUM(E8,H8,K8,N8,Q8))</f>
        <v>149</v>
      </c>
      <c r="U8" s="49" t="s">
        <v>15</v>
      </c>
      <c r="V8" s="97">
        <f>IF(Y9="","",SUM(G8,J8,M8,P8,S8))</f>
        <v>115</v>
      </c>
      <c r="W8" s="98">
        <f>IF(Y8="","",RANK(X9,($X$7,$X$9,$X$11,$X$13,$X$15),0))</f>
        <v>1</v>
      </c>
      <c r="X8" s="308"/>
      <c r="Y8" s="99" t="s">
        <v>17</v>
      </c>
      <c r="AB8" s="34">
        <v>2</v>
      </c>
      <c r="AC8" s="100" t="str">
        <f>IF(W8="","",IF($W$6=2,$D$6,IF($W$8=2,$D$8,IF($W$10=2,$D$10,IF($W$12=2,$D$12,IF($W$14=2,$D$14,0))))))</f>
        <v>Baden</v>
      </c>
      <c r="AD8" s="101"/>
      <c r="AE8" s="101"/>
    </row>
    <row r="9" spans="1:31" ht="11.1" customHeight="1">
      <c r="C9" s="102"/>
      <c r="D9" s="54"/>
      <c r="E9" s="106">
        <f>IF(OR(E8="",E8=0),"",IF(E8&gt;G8,2,IF(E8&lt;G8,0,1)))</f>
        <v>2</v>
      </c>
      <c r="F9" s="40" t="s">
        <v>16</v>
      </c>
      <c r="G9" s="107">
        <f>IF(OR(G8="",G8=0),"",IF(G8&gt;E8,2,IF(G8&lt;E8,0,1)))</f>
        <v>0</v>
      </c>
      <c r="H9" s="103"/>
      <c r="I9" s="104"/>
      <c r="J9" s="105"/>
      <c r="K9" s="106">
        <f>IF(OR(K8="",K8=0),"",IF(K8&gt;M8,2,IF(K8&lt;M8,0,1)))</f>
        <v>2</v>
      </c>
      <c r="L9" s="40" t="s">
        <v>16</v>
      </c>
      <c r="M9" s="107">
        <f>IF(OR(M8="",M8=0),"",IF(M8&gt;K8,2,IF(M8&lt;K8,0,1)))</f>
        <v>0</v>
      </c>
      <c r="N9" s="106">
        <f>IF(OR(N8="",N8=0),"",IF(N8&gt;P8,2,IF(N8&lt;P8,0,1)))</f>
        <v>2</v>
      </c>
      <c r="O9" s="40" t="s">
        <v>16</v>
      </c>
      <c r="P9" s="107">
        <f>IF(OR(P8="",P8=0),"",IF(P8&gt;N8,2,IF(P8&lt;N8,0,1)))</f>
        <v>0</v>
      </c>
      <c r="Q9" s="106">
        <f>IF(OR(Q8="",Q8=0),"",IF(Q8&gt;S8,2,IF(Q8&lt;S8,0,1)))</f>
        <v>2</v>
      </c>
      <c r="R9" s="40" t="s">
        <v>16</v>
      </c>
      <c r="S9" s="107">
        <f>IF(OR(S8="",S8=0),"",IF(S8&gt;Q8,2,IF(S8&lt;Q8,0,1)))</f>
        <v>0</v>
      </c>
      <c r="T9" s="106">
        <f>IF(Y9="","",SUM(E9,H9,K9,N9,Q9))</f>
        <v>8</v>
      </c>
      <c r="U9" s="40" t="s">
        <v>16</v>
      </c>
      <c r="V9" s="107">
        <f>IF(Y9="","",SUM(G9,J9,M9,P9,S9))</f>
        <v>0</v>
      </c>
      <c r="W9" s="108"/>
      <c r="X9" s="309">
        <f>+(T9-V9)+T8/V8+T9</f>
        <v>17.295652173913044</v>
      </c>
      <c r="Y9" s="99" t="s">
        <v>17</v>
      </c>
      <c r="AC9" s="100"/>
    </row>
    <row r="10" spans="1:31" ht="15.2" customHeight="1">
      <c r="A10" s="34">
        <v>3</v>
      </c>
      <c r="C10" s="89" t="str">
        <f>IF(Daten!B27="","",Daten!B27)</f>
        <v/>
      </c>
      <c r="D10" s="90" t="str">
        <f>IF(Daten!C27="","",Daten!C27)</f>
        <v>Baden</v>
      </c>
      <c r="E10" s="94">
        <f>IF(M6="","",M6)</f>
        <v>40</v>
      </c>
      <c r="F10" s="49" t="s">
        <v>15</v>
      </c>
      <c r="G10" s="95">
        <f>IF(K6="","",K6)</f>
        <v>31</v>
      </c>
      <c r="H10" s="367">
        <f>IF(M8="","",M8)</f>
        <v>30</v>
      </c>
      <c r="I10" s="368" t="s">
        <v>15</v>
      </c>
      <c r="J10" s="369">
        <f>IF(K8="","",K8)</f>
        <v>37</v>
      </c>
      <c r="K10" s="91"/>
      <c r="L10" s="92"/>
      <c r="M10" s="93"/>
      <c r="N10" s="94">
        <f>IF(ISERROR(VLOOKUP($A$4&amp;TEXT($A10,"00")&amp;TEXT(O$4,"00"),Samstag!$B$24:$S$162,16,FALSE)),"",VLOOKUP($A$4&amp;TEXT($A10,"00")&amp;TEXT(O$4,"00"),Samstag!$B$24:$S$162,16,FALSE))</f>
        <v>38</v>
      </c>
      <c r="O10" s="49" t="s">
        <v>15</v>
      </c>
      <c r="P10" s="95">
        <f>IF(ISERROR(VLOOKUP($A$4&amp;TEXT($A10,"00")&amp;TEXT(O$4,"00"),Samstag!$B$24:$S$162,18,FALSE)),"",VLOOKUP($A$4&amp;TEXT($A10,"00")&amp;TEXT(O$4,"00"),Samstag!$B$24:$S$162,18,FALSE))</f>
        <v>36</v>
      </c>
      <c r="Q10" s="367">
        <f>IF(ISERROR(VLOOKUP($A$4&amp;TEXT($A10,"00")&amp;TEXT(R$4,"00"),Samstag!$B$24:$S$162,16,FALSE)),"",VLOOKUP($A$4&amp;TEXT($A10,"00")&amp;TEXT(R$4,"00"),Samstag!$B$24:$S$162,16,FALSE))</f>
        <v>38</v>
      </c>
      <c r="R10" s="368" t="s">
        <v>15</v>
      </c>
      <c r="S10" s="369">
        <f>IF(ISERROR(VLOOKUP($A$4&amp;TEXT($A10,"00")&amp;TEXT(R$4,"00"),Samstag!$B$24:$S$162,18,FALSE)),"",VLOOKUP($A$4&amp;TEXT($A10,"00")&amp;TEXT(R$4,"00"),Samstag!$B$24:$S$162,18,FALSE))</f>
        <v>34</v>
      </c>
      <c r="T10" s="96">
        <f>IF(Y11="","",SUM(E10,H10,K10,N10,Q10))</f>
        <v>146</v>
      </c>
      <c r="U10" s="49" t="s">
        <v>15</v>
      </c>
      <c r="V10" s="97">
        <f>IF(Y11="","",SUM(G10,J10,M10,P10,S10))</f>
        <v>138</v>
      </c>
      <c r="W10" s="110">
        <f>IF(Y10="","",RANK(X11,($X$7,$X$9,$X$11,$X$13,$X$15),0))</f>
        <v>2</v>
      </c>
      <c r="X10" s="308"/>
      <c r="Y10" s="99" t="s">
        <v>17</v>
      </c>
      <c r="AB10" s="34">
        <v>3</v>
      </c>
      <c r="AC10" s="100" t="str">
        <f>IF(W10="","",IF($W$6=3,$D$6,IF($W$8=3,$D$8,IF($W$10=3,$D$10,IF($W$12=3,$D$12,IF($W$14=3,$D$14,0))))))</f>
        <v>Pfalz</v>
      </c>
    </row>
    <row r="11" spans="1:31" ht="11.1" customHeight="1">
      <c r="C11" s="111"/>
      <c r="D11" s="54"/>
      <c r="E11" s="106">
        <f>IF(OR(E10="",E10=0),"",IF(E10&gt;G10,2,IF(E10&lt;G10,0,1)))</f>
        <v>2</v>
      </c>
      <c r="F11" s="40" t="s">
        <v>16</v>
      </c>
      <c r="G11" s="107">
        <f>IF(OR(G10="",G10=0),"",IF(G10&gt;E10,2,IF(G10&lt;E10,0,1)))</f>
        <v>0</v>
      </c>
      <c r="H11" s="106">
        <f>IF(OR(H10="",H10=0),"",IF(H10&gt;J10,2,IF(H10&lt;J10,0,1)))</f>
        <v>0</v>
      </c>
      <c r="I11" s="40" t="s">
        <v>16</v>
      </c>
      <c r="J11" s="107">
        <f>IF(OR(J10="",J10=0),"",IF(J10&gt;H10,2,IF(J10&lt;H10,0,1)))</f>
        <v>2</v>
      </c>
      <c r="K11" s="103"/>
      <c r="L11" s="104"/>
      <c r="M11" s="105"/>
      <c r="N11" s="106">
        <f>IF(OR(N10="",N10=0),"",IF(N10&gt;P10,2,IF(N10&lt;P10,0,1)))</f>
        <v>2</v>
      </c>
      <c r="O11" s="40" t="s">
        <v>16</v>
      </c>
      <c r="P11" s="107">
        <f>IF(OR(P10="",P10=0),"",IF(P10&gt;N10,2,IF(P10&lt;N10,0,1)))</f>
        <v>0</v>
      </c>
      <c r="Q11" s="106">
        <f>IF(OR(Q10="",Q10=0),"",IF(Q10&gt;S10,2,IF(Q10&lt;S10,0,1)))</f>
        <v>2</v>
      </c>
      <c r="R11" s="40" t="s">
        <v>16</v>
      </c>
      <c r="S11" s="107">
        <f>IF(OR(S10="",S10=0),"",IF(S10&gt;Q10,2,IF(S10&lt;Q10,0,1)))</f>
        <v>0</v>
      </c>
      <c r="T11" s="106">
        <f>IF(Y11="","",SUM(E11,H11,K11,N11,Q11))</f>
        <v>6</v>
      </c>
      <c r="U11" s="40" t="s">
        <v>16</v>
      </c>
      <c r="V11" s="107">
        <f>IF(Y11="","",SUM(G11,J11,M11,P11,S11))</f>
        <v>2</v>
      </c>
      <c r="W11" s="108"/>
      <c r="X11" s="309">
        <f>+(T11-V11)+T10/V10+T11</f>
        <v>11.057971014492754</v>
      </c>
      <c r="Y11" s="99" t="s">
        <v>17</v>
      </c>
      <c r="AC11" s="100"/>
    </row>
    <row r="12" spans="1:31" ht="15.2" customHeight="1">
      <c r="A12" s="34">
        <v>4</v>
      </c>
      <c r="C12" s="89" t="str">
        <f>IF(Daten!B28="","",Daten!B28)</f>
        <v/>
      </c>
      <c r="D12" s="90" t="str">
        <f>IF(Daten!C28="","",Daten!C28)</f>
        <v>Niedersachsen</v>
      </c>
      <c r="E12" s="94">
        <f>IF(P6="","",P6)</f>
        <v>39</v>
      </c>
      <c r="F12" s="49" t="s">
        <v>15</v>
      </c>
      <c r="G12" s="95">
        <f>IF(N6="","",N6)</f>
        <v>34</v>
      </c>
      <c r="H12" s="94">
        <f>IF(P8="","",P8)</f>
        <v>33</v>
      </c>
      <c r="I12" s="49" t="s">
        <v>15</v>
      </c>
      <c r="J12" s="95">
        <f>IF(N8="","",N8)</f>
        <v>34</v>
      </c>
      <c r="K12" s="94">
        <f>IF(P10="","",P10)</f>
        <v>36</v>
      </c>
      <c r="L12" s="49" t="s">
        <v>15</v>
      </c>
      <c r="M12" s="95">
        <f>IF(N10="","",N10)</f>
        <v>38</v>
      </c>
      <c r="N12" s="91"/>
      <c r="O12" s="92"/>
      <c r="P12" s="93"/>
      <c r="Q12" s="94">
        <f>IF(ISERROR(VLOOKUP($A$4&amp;TEXT($A12,"00")&amp;TEXT(R$4,"00"),Samstag!$B$24:$S$162,16,FALSE)),"",VLOOKUP($A$4&amp;TEXT($A12,"00")&amp;TEXT(R$4,"00"),Samstag!$B$24:$S$162,16,FALSE))</f>
        <v>33</v>
      </c>
      <c r="R12" s="49" t="s">
        <v>15</v>
      </c>
      <c r="S12" s="95">
        <f>IF(ISERROR(VLOOKUP($A$4&amp;TEXT($A12,"00")&amp;TEXT(R$4,"00"),Samstag!$B$24:$S$162,18,FALSE)),"",VLOOKUP($A$4&amp;TEXT($A12,"00")&amp;TEXT(R$4,"00"),Samstag!$B$24:$S$162,18,FALSE))</f>
        <v>37</v>
      </c>
      <c r="T12" s="96">
        <f>IF(Y13="","",SUM(E12,H12,K12,N12,Q12))</f>
        <v>141</v>
      </c>
      <c r="U12" s="49" t="s">
        <v>15</v>
      </c>
      <c r="V12" s="97">
        <f>IF(Y13="","",SUM(G12,J12,M12,P12,S12))</f>
        <v>143</v>
      </c>
      <c r="W12" s="110">
        <f>IF(Y12="","",RANK(X13,($X$7,$X$9,$X$11,$X$13,$X$15),0))</f>
        <v>4</v>
      </c>
      <c r="X12" s="308"/>
      <c r="Y12" s="99" t="s">
        <v>17</v>
      </c>
      <c r="AB12" s="34">
        <v>4</v>
      </c>
      <c r="AC12" s="100" t="str">
        <f>IF(W12="","",IF($W$6=4,$D$6,IF($W$8=4,$D$8,IF($W$10=4,$D$10,IF($W$12=4,$D$12,IF($W$14=4,$D$14,0))))))</f>
        <v>Niedersachsen</v>
      </c>
    </row>
    <row r="13" spans="1:31" ht="11.1" customHeight="1">
      <c r="C13" s="111"/>
      <c r="D13" s="54"/>
      <c r="E13" s="106">
        <f>IF(OR(E12="",E12=0),"",IF(E12&gt;G12,2,IF(E12&lt;G12,0,1)))</f>
        <v>2</v>
      </c>
      <c r="F13" s="40" t="s">
        <v>16</v>
      </c>
      <c r="G13" s="107">
        <f>IF(OR(G12="",G12=0),"",IF(G12&gt;E12,2,IF(G12&lt;E12,0,1)))</f>
        <v>0</v>
      </c>
      <c r="H13" s="106">
        <f>IF(OR(H12="",H12=0),"",IF(H12&gt;J12,2,IF(H12&lt;J12,0,1)))</f>
        <v>0</v>
      </c>
      <c r="I13" s="40" t="s">
        <v>16</v>
      </c>
      <c r="J13" s="107">
        <f>IF(OR(J12="",J12=0),"",IF(J12&gt;H12,2,IF(J12&lt;H12,0,1)))</f>
        <v>2</v>
      </c>
      <c r="K13" s="106">
        <f>IF(OR(K12="",K12=0),"",IF(K12&gt;M12,2,IF(K12&lt;M12,0,1)))</f>
        <v>0</v>
      </c>
      <c r="L13" s="40" t="s">
        <v>16</v>
      </c>
      <c r="M13" s="107">
        <f>IF(OR(M12="",M12=0),"",IF(M12&gt;K12,2,IF(M12&lt;K12,0,1)))</f>
        <v>2</v>
      </c>
      <c r="N13" s="103"/>
      <c r="O13" s="104"/>
      <c r="P13" s="105"/>
      <c r="Q13" s="106">
        <f>IF(OR(Q12="",Q12=0),"",IF(Q12&gt;S12,2,IF(Q12&lt;S12,0,1)))</f>
        <v>0</v>
      </c>
      <c r="R13" s="40" t="s">
        <v>16</v>
      </c>
      <c r="S13" s="107">
        <f>IF(OR(S12="",S12=0),"",IF(S12&gt;Q12,2,IF(S12&lt;Q12,0,1)))</f>
        <v>2</v>
      </c>
      <c r="T13" s="106">
        <f>IF(Y13="","",SUM(E13,H13,K13,N13,Q13))</f>
        <v>2</v>
      </c>
      <c r="U13" s="40" t="s">
        <v>16</v>
      </c>
      <c r="V13" s="107">
        <f>IF(Y13="","",SUM(G13,J13,M13,P13,S13))</f>
        <v>6</v>
      </c>
      <c r="W13" s="108"/>
      <c r="X13" s="309">
        <f>+(T13-V13)+T12/V12+T13</f>
        <v>-1.0139860139860142</v>
      </c>
      <c r="Y13" s="99" t="s">
        <v>17</v>
      </c>
      <c r="AC13" s="100"/>
    </row>
    <row r="14" spans="1:31" ht="15.2" customHeight="1">
      <c r="A14" s="34">
        <v>5</v>
      </c>
      <c r="C14" s="89" t="str">
        <f>IF(Daten!B29="","",Daten!B29)</f>
        <v/>
      </c>
      <c r="D14" s="90" t="str">
        <f>IF(Daten!C29="","",Daten!C29)</f>
        <v>Pfalz</v>
      </c>
      <c r="E14" s="94">
        <f>IF(S6="","",S6)</f>
        <v>44</v>
      </c>
      <c r="F14" s="49" t="s">
        <v>15</v>
      </c>
      <c r="G14" s="95">
        <f>IF(Q6="","",Q6)</f>
        <v>32</v>
      </c>
      <c r="H14" s="367">
        <f>IF(S8="","",S8)</f>
        <v>27</v>
      </c>
      <c r="I14" s="368" t="s">
        <v>15</v>
      </c>
      <c r="J14" s="369">
        <f>IF(Q8="","",Q8)</f>
        <v>37</v>
      </c>
      <c r="K14" s="367">
        <f>IF(S10="","",S10)</f>
        <v>34</v>
      </c>
      <c r="L14" s="368" t="s">
        <v>15</v>
      </c>
      <c r="M14" s="369">
        <f>IF(Q10="","",Q10)</f>
        <v>38</v>
      </c>
      <c r="N14" s="94">
        <f>IF(S12="","",S12)</f>
        <v>37</v>
      </c>
      <c r="O14" s="49" t="s">
        <v>15</v>
      </c>
      <c r="P14" s="95">
        <f>IF(Q12="","",Q12)</f>
        <v>33</v>
      </c>
      <c r="Q14" s="91"/>
      <c r="R14" s="92"/>
      <c r="S14" s="93"/>
      <c r="T14" s="96">
        <f>IF(Y15="","",SUM(E14,H14,K14,N14,Q14))</f>
        <v>142</v>
      </c>
      <c r="U14" s="49" t="s">
        <v>15</v>
      </c>
      <c r="V14" s="97">
        <f>IF(Y15="","",SUM(G14,J14,M14,P14,S14))</f>
        <v>140</v>
      </c>
      <c r="W14" s="110">
        <f>IF(Y14="","",RANK(X15,($X$7,$X$9,$X$11,$X$13,$X$15),0))</f>
        <v>3</v>
      </c>
      <c r="X14" s="308"/>
      <c r="Y14" s="99" t="s">
        <v>17</v>
      </c>
      <c r="AB14" s="34">
        <v>5</v>
      </c>
      <c r="AC14" s="100" t="str">
        <f>IF(W14="","",IF($W$6=5,$D$6,IF($W$8=5,$D$8,IF($W$10=5,$D$10,IF($W$12=5,$D$12,IF($W$14=5,$D$14,0))))))</f>
        <v>Berlin</v>
      </c>
    </row>
    <row r="15" spans="1:31" ht="11.1" customHeight="1">
      <c r="C15" s="111"/>
      <c r="D15" s="112"/>
      <c r="E15" s="106">
        <f>IF(OR(E14="",E14=0),"",IF(E14&gt;G14,2,IF(E14&lt;G14,0,1)))</f>
        <v>2</v>
      </c>
      <c r="F15" s="40" t="s">
        <v>16</v>
      </c>
      <c r="G15" s="107">
        <f>IF(OR(G14="",G14=0),"",IF(G14&gt;E14,2,IF(G14&lt;E14,0,1)))</f>
        <v>0</v>
      </c>
      <c r="H15" s="106">
        <f>IF(OR(H14="",H14=0),"",IF(H14&gt;J14,2,IF(H14&lt;J14,0,1)))</f>
        <v>0</v>
      </c>
      <c r="I15" s="40" t="s">
        <v>16</v>
      </c>
      <c r="J15" s="107">
        <f>IF(OR(J14="",J14=0),"",IF(J14&gt;H14,2,IF(J14&lt;H14,0,1)))</f>
        <v>2</v>
      </c>
      <c r="K15" s="106">
        <f>IF(OR(K14="",K14=0),"",IF(K14&gt;M14,2,IF(K14&lt;M14,0,1)))</f>
        <v>0</v>
      </c>
      <c r="L15" s="40" t="s">
        <v>16</v>
      </c>
      <c r="M15" s="107">
        <f>IF(OR(M14="",M14=0),"",IF(M14&gt;K14,2,IF(M14&lt;K14,0,1)))</f>
        <v>2</v>
      </c>
      <c r="N15" s="106">
        <f>IF(OR(N14="",N14=0),"",IF(N14&gt;P14,2,IF(N14&lt;P14,0,1)))</f>
        <v>2</v>
      </c>
      <c r="O15" s="40" t="s">
        <v>16</v>
      </c>
      <c r="P15" s="107">
        <f>IF(OR(P14="",P14=0),"",IF(P14&gt;N14,2,IF(P14&lt;N14,0,1)))</f>
        <v>0</v>
      </c>
      <c r="Q15" s="103"/>
      <c r="R15" s="104"/>
      <c r="S15" s="105"/>
      <c r="T15" s="106">
        <f>IF(Y15="","",SUM(E15,H15,K15,N15,Q15))</f>
        <v>4</v>
      </c>
      <c r="U15" s="40" t="s">
        <v>16</v>
      </c>
      <c r="V15" s="107">
        <f>IF(Y15="","",SUM(G15,J15,M15,P15,S15))</f>
        <v>4</v>
      </c>
      <c r="W15" s="108"/>
      <c r="X15" s="309">
        <f>+(T15-V15)+T14/V14+T15</f>
        <v>5.0142857142857142</v>
      </c>
      <c r="Y15" s="99" t="s">
        <v>17</v>
      </c>
    </row>
    <row r="16" spans="1:31" ht="10.15" customHeight="1">
      <c r="C16" s="113"/>
      <c r="D16" s="113"/>
      <c r="E16" s="114"/>
      <c r="F16" s="49"/>
      <c r="G16" s="115"/>
      <c r="H16" s="114"/>
      <c r="I16" s="49"/>
      <c r="J16" s="115"/>
      <c r="K16" s="114"/>
      <c r="L16" s="49"/>
      <c r="M16" s="115"/>
      <c r="N16" s="114"/>
      <c r="O16" s="49"/>
      <c r="P16" s="115"/>
      <c r="Q16" s="116"/>
      <c r="R16" s="116"/>
      <c r="S16" s="116"/>
      <c r="T16" s="114"/>
      <c r="U16" s="49"/>
      <c r="V16" s="115"/>
      <c r="W16" s="117"/>
      <c r="X16" s="309"/>
      <c r="Y16" s="99"/>
    </row>
    <row r="17" spans="1:46" ht="10.15" hidden="1" customHeight="1" outlineLevel="1">
      <c r="C17" s="118" t="s">
        <v>18</v>
      </c>
      <c r="D17" s="119" t="str">
        <f>+D6</f>
        <v>Berlin</v>
      </c>
      <c r="E17" s="120"/>
      <c r="F17" s="121"/>
      <c r="G17" s="122"/>
      <c r="H17" s="123"/>
      <c r="I17" s="124" t="s">
        <v>15</v>
      </c>
      <c r="J17" s="125"/>
      <c r="K17" s="123"/>
      <c r="L17" s="124" t="s">
        <v>15</v>
      </c>
      <c r="M17" s="125"/>
      <c r="N17" s="123"/>
      <c r="O17" s="124" t="s">
        <v>15</v>
      </c>
      <c r="P17" s="125"/>
      <c r="Q17" s="126"/>
      <c r="R17" s="124" t="s">
        <v>15</v>
      </c>
      <c r="S17" s="127"/>
      <c r="T17" s="37"/>
      <c r="U17" s="38"/>
      <c r="V17" s="42"/>
      <c r="W17" s="41"/>
      <c r="X17" s="309"/>
      <c r="Y17" s="99"/>
    </row>
    <row r="18" spans="1:46" ht="10.15" hidden="1" customHeight="1" outlineLevel="1">
      <c r="C18" s="128"/>
      <c r="D18" s="119" t="str">
        <f>+D8</f>
        <v>Westfalen</v>
      </c>
      <c r="E18" s="123" t="str">
        <f>IF(J17="","",J17)</f>
        <v/>
      </c>
      <c r="F18" s="124" t="s">
        <v>15</v>
      </c>
      <c r="G18" s="125" t="str">
        <f>IF(H17="","",H17)</f>
        <v/>
      </c>
      <c r="H18" s="120"/>
      <c r="I18" s="121"/>
      <c r="J18" s="122"/>
      <c r="K18" s="123"/>
      <c r="L18" s="124" t="s">
        <v>15</v>
      </c>
      <c r="M18" s="125"/>
      <c r="N18" s="123"/>
      <c r="O18" s="124" t="s">
        <v>15</v>
      </c>
      <c r="P18" s="125"/>
      <c r="Q18" s="126"/>
      <c r="R18" s="124" t="s">
        <v>15</v>
      </c>
      <c r="S18" s="127"/>
      <c r="T18" s="37"/>
      <c r="U18" s="38"/>
      <c r="V18" s="42"/>
      <c r="W18" s="41"/>
      <c r="X18" s="309"/>
      <c r="Y18" s="99"/>
    </row>
    <row r="19" spans="1:46" ht="10.15" hidden="1" customHeight="1" outlineLevel="1">
      <c r="C19" s="128"/>
      <c r="D19" s="119" t="str">
        <f>+D10</f>
        <v>Baden</v>
      </c>
      <c r="E19" s="123" t="str">
        <f>IF(M17="","",M17)</f>
        <v/>
      </c>
      <c r="F19" s="124" t="s">
        <v>15</v>
      </c>
      <c r="G19" s="125" t="str">
        <f>IF(K17="","",K17)</f>
        <v/>
      </c>
      <c r="H19" s="123" t="str">
        <f>IF(M18="","",M18)</f>
        <v/>
      </c>
      <c r="I19" s="124" t="s">
        <v>15</v>
      </c>
      <c r="J19" s="125" t="str">
        <f>IF(K18="","",K18)</f>
        <v/>
      </c>
      <c r="K19" s="120"/>
      <c r="L19" s="121"/>
      <c r="M19" s="122"/>
      <c r="N19" s="123"/>
      <c r="O19" s="124" t="s">
        <v>15</v>
      </c>
      <c r="P19" s="125"/>
      <c r="Q19" s="126"/>
      <c r="R19" s="124" t="s">
        <v>15</v>
      </c>
      <c r="S19" s="127"/>
      <c r="T19" s="37"/>
      <c r="U19" s="38"/>
      <c r="V19" s="42"/>
      <c r="W19" s="41"/>
      <c r="X19" s="309"/>
      <c r="Y19" s="99"/>
    </row>
    <row r="20" spans="1:46" ht="10.15" hidden="1" customHeight="1" outlineLevel="1">
      <c r="C20" s="128"/>
      <c r="D20" s="119" t="str">
        <f>+D12</f>
        <v>Niedersachsen</v>
      </c>
      <c r="E20" s="123" t="str">
        <f>IF(P17="","",P17)</f>
        <v/>
      </c>
      <c r="F20" s="124" t="s">
        <v>15</v>
      </c>
      <c r="G20" s="125" t="str">
        <f>IF(N17="","",N17)</f>
        <v/>
      </c>
      <c r="H20" s="123" t="str">
        <f>IF(P18="","",P18)</f>
        <v/>
      </c>
      <c r="I20" s="124" t="s">
        <v>15</v>
      </c>
      <c r="J20" s="125" t="str">
        <f>IF(N18="","",N18)</f>
        <v/>
      </c>
      <c r="K20" s="123" t="str">
        <f>IF(P19="","",P19)</f>
        <v/>
      </c>
      <c r="L20" s="124" t="s">
        <v>15</v>
      </c>
      <c r="M20" s="125" t="str">
        <f>IF(N19="","",N19)</f>
        <v/>
      </c>
      <c r="N20" s="120"/>
      <c r="O20" s="121"/>
      <c r="P20" s="122"/>
      <c r="Q20" s="126"/>
      <c r="R20" s="124" t="s">
        <v>15</v>
      </c>
      <c r="S20" s="127"/>
      <c r="T20" s="37"/>
      <c r="U20" s="38"/>
      <c r="V20" s="42"/>
      <c r="W20" s="41"/>
      <c r="X20" s="309"/>
      <c r="Y20" s="99"/>
    </row>
    <row r="21" spans="1:46" ht="10.15" hidden="1" customHeight="1" outlineLevel="1">
      <c r="C21" s="128"/>
      <c r="D21" s="119" t="str">
        <f>+D14</f>
        <v>Pfalz</v>
      </c>
      <c r="E21" s="123" t="str">
        <f>IF(S17="","",S17)</f>
        <v/>
      </c>
      <c r="F21" s="124" t="s">
        <v>15</v>
      </c>
      <c r="G21" s="125" t="str">
        <f>IF(Q17="","",Q17)</f>
        <v/>
      </c>
      <c r="H21" s="123" t="str">
        <f>IF(S18="","",S18)</f>
        <v/>
      </c>
      <c r="I21" s="124" t="s">
        <v>15</v>
      </c>
      <c r="J21" s="125" t="str">
        <f>IF(Q18="","",Q18)</f>
        <v/>
      </c>
      <c r="K21" s="123" t="str">
        <f>IF(S19="","",S19)</f>
        <v/>
      </c>
      <c r="L21" s="124" t="s">
        <v>15</v>
      </c>
      <c r="M21" s="125" t="str">
        <f>IF(Q19="","",Q19)</f>
        <v/>
      </c>
      <c r="N21" s="123" t="str">
        <f>IF(S20="","",S20)</f>
        <v/>
      </c>
      <c r="O21" s="124" t="s">
        <v>15</v>
      </c>
      <c r="P21" s="125" t="str">
        <f>IF(Q20="","",Q20)</f>
        <v/>
      </c>
      <c r="Q21" s="120"/>
      <c r="R21" s="129"/>
      <c r="S21" s="122"/>
      <c r="T21" s="37"/>
      <c r="U21" s="38"/>
      <c r="V21" s="42"/>
      <c r="W21" s="41"/>
      <c r="X21" s="309"/>
      <c r="Y21" s="99"/>
    </row>
    <row r="22" spans="1:46" collapsed="1">
      <c r="X22" s="308"/>
    </row>
    <row r="23" spans="1:46" ht="21.75" customHeight="1">
      <c r="C23" s="74"/>
      <c r="D23" s="75"/>
      <c r="E23" s="70"/>
      <c r="F23" s="130">
        <v>11</v>
      </c>
      <c r="G23" s="131"/>
      <c r="H23" s="130"/>
      <c r="I23" s="130">
        <v>12</v>
      </c>
      <c r="J23" s="130"/>
      <c r="K23" s="130"/>
      <c r="L23" s="130">
        <v>13</v>
      </c>
      <c r="M23" s="130"/>
      <c r="N23" s="130"/>
      <c r="O23" s="130">
        <v>14</v>
      </c>
      <c r="P23" s="130"/>
      <c r="Q23" s="130"/>
      <c r="R23" s="130">
        <v>15</v>
      </c>
      <c r="S23" s="132"/>
      <c r="T23" s="75"/>
      <c r="U23" s="75"/>
      <c r="V23" s="75"/>
      <c r="W23" s="75"/>
      <c r="X23" s="308"/>
    </row>
    <row r="24" spans="1:46" ht="12.75" customHeight="1" collapsed="1">
      <c r="C24" s="84"/>
      <c r="D24" s="83" t="str">
        <f>+Daten!F24</f>
        <v>Gruppe H</v>
      </c>
      <c r="E24" s="81"/>
      <c r="F24" s="79" t="str">
        <f>+D25</f>
        <v>Sachsen</v>
      </c>
      <c r="G24" s="87"/>
      <c r="H24" s="81"/>
      <c r="I24" s="79" t="str">
        <f>+D27</f>
        <v>Schwaben</v>
      </c>
      <c r="J24" s="87"/>
      <c r="K24" s="81"/>
      <c r="L24" s="79" t="str">
        <f>+D29</f>
        <v>Bremen</v>
      </c>
      <c r="M24" s="87"/>
      <c r="N24" s="81"/>
      <c r="O24" s="79" t="str">
        <f>+D31</f>
        <v>Rheinland</v>
      </c>
      <c r="P24" s="87"/>
      <c r="Q24" s="81"/>
      <c r="R24" s="79" t="str">
        <f>+D33</f>
        <v/>
      </c>
      <c r="S24" s="87"/>
      <c r="T24" s="81"/>
      <c r="U24" s="86" t="s">
        <v>12</v>
      </c>
      <c r="V24" s="87"/>
      <c r="W24" s="88" t="s">
        <v>13</v>
      </c>
      <c r="X24" s="308"/>
    </row>
    <row r="25" spans="1:46" ht="15.2" customHeight="1">
      <c r="A25" s="34">
        <v>11</v>
      </c>
      <c r="C25" s="89" t="str">
        <f>IF(Daten!E25="","",Daten!E25)</f>
        <v/>
      </c>
      <c r="D25" s="90" t="str">
        <f>IF(Daten!F25="","",Daten!F25)</f>
        <v>Sachsen</v>
      </c>
      <c r="E25" s="91"/>
      <c r="F25" s="92"/>
      <c r="G25" s="93"/>
      <c r="H25" s="94">
        <f>IF(ISERROR(VLOOKUP($A$4&amp;TEXT($A25,"00")&amp;TEXT(I$23,"00"),Samstag!$B$24:$T$162,16,FALSE)),"",VLOOKUP($A$4&amp;TEXT($A25,"00")&amp;TEXT(I$23,"00"),Samstag!$B$24:$T$162,16,FALSE))</f>
        <v>30</v>
      </c>
      <c r="I25" s="49" t="s">
        <v>15</v>
      </c>
      <c r="J25" s="95">
        <f>IF(ISERROR(VLOOKUP($A$4&amp;TEXT($A25,"00")&amp;TEXT(I$23,"00"),Samstag!$B$24:$T$162,18,FALSE)),"",VLOOKUP($A$4&amp;TEXT($A25,"00")&amp;TEXT(I$23,"00"),Samstag!$B$24:$T$162,18,FALSE))</f>
        <v>39</v>
      </c>
      <c r="K25" s="94">
        <f>IF(ISERROR(VLOOKUP($A$4&amp;TEXT($A25,"00")&amp;TEXT(L$23,"00"),Samstag!$B$24:$T$162,16,FALSE)),"",VLOOKUP($A$4&amp;TEXT($A25,"00")&amp;TEXT(L$23,"00"),Samstag!$B$24:$T$162,16,FALSE))</f>
        <v>32</v>
      </c>
      <c r="L25" s="49" t="s">
        <v>15</v>
      </c>
      <c r="M25" s="95">
        <f>IF(ISERROR(VLOOKUP($A$4&amp;TEXT($A25,"00")&amp;TEXT(L$23,"00"),Samstag!$B$24:$T$162,18,FALSE)),"",VLOOKUP($A$4&amp;TEXT($A25,"00")&amp;TEXT(L$23,"00"),Samstag!$B$24:$T$162,18,FALSE))</f>
        <v>35</v>
      </c>
      <c r="N25" s="94">
        <f>IF(ISERROR(VLOOKUP($A$4&amp;TEXT($A25,"00")&amp;TEXT(O$23,"00"),Samstag!$B$24:$T$162,16,FALSE)),"",VLOOKUP($A$4&amp;TEXT($A25,"00")&amp;TEXT(O$23,"00"),Samstag!$B$24:$T$162,16,FALSE))</f>
        <v>35</v>
      </c>
      <c r="O25" s="49" t="s">
        <v>15</v>
      </c>
      <c r="P25" s="95">
        <f>IF(ISERROR(VLOOKUP($A$4&amp;TEXT($A25,"00")&amp;TEXT(O$23,"00"),Samstag!$B$24:$T$162,18,FALSE)),"",VLOOKUP($A$4&amp;TEXT($A25,"00")&amp;TEXT(O$23,"00"),Samstag!$B$24:$T$162,18,FALSE))</f>
        <v>22</v>
      </c>
      <c r="Q25" s="94" t="str">
        <f>IF(ISERROR(VLOOKUP($A$4&amp;TEXT($A25,"00")&amp;TEXT(R$23,"00"),Samstag!$B$24:$T$162,16,FALSE)),"",VLOOKUP($A$4&amp;TEXT($A25,"00")&amp;TEXT(R$23,"00"),Samstag!$B$24:$T$162,16,FALSE))</f>
        <v/>
      </c>
      <c r="R25" s="49" t="s">
        <v>15</v>
      </c>
      <c r="S25" s="95" t="str">
        <f>IF(ISERROR(VLOOKUP($A$4&amp;TEXT($A25,"00")&amp;TEXT(R$23,"00"),Samstag!$B$24:$T$162,18,FALSE)),"",VLOOKUP($A$4&amp;TEXT($A25,"00")&amp;TEXT(R$23,"00"),Samstag!$B$24:$T$162,18,FALSE))</f>
        <v/>
      </c>
      <c r="T25" s="96">
        <f>IF(Y26="","",SUM(E25,H25,K25,N25,Q25))</f>
        <v>97</v>
      </c>
      <c r="U25" s="49" t="s">
        <v>15</v>
      </c>
      <c r="V25" s="97">
        <f>IF(Y26="","",SUM(G25,J25,M25,P25,S25))</f>
        <v>96</v>
      </c>
      <c r="W25" s="110">
        <f>IF(Y25="","",RANK(X26,($X$26,$X$28,$X$30,$X$32,$X$34),0))</f>
        <v>3</v>
      </c>
      <c r="X25" s="308"/>
      <c r="Y25" s="99" t="s">
        <v>17</v>
      </c>
      <c r="AB25" s="34">
        <v>1</v>
      </c>
      <c r="AC25" s="34" t="str">
        <f>IF(W25="","",IF($W$25=1,$D$25,IF($W$27=1,$D$27,IF($W$29=1,$D$29,IF($W$31=1,$D$31,IF($W$33=1,$D$33,0))))))</f>
        <v>Schwaben</v>
      </c>
    </row>
    <row r="26" spans="1:46" ht="11.1" customHeight="1">
      <c r="C26" s="133"/>
      <c r="D26" s="134"/>
      <c r="E26" s="103"/>
      <c r="F26" s="104"/>
      <c r="G26" s="105"/>
      <c r="H26" s="106">
        <f>IF(OR(H25="",H25=0),"",IF(H25&gt;J25,2,IF(H25&lt;J25,0,1)))</f>
        <v>0</v>
      </c>
      <c r="I26" s="40" t="s">
        <v>16</v>
      </c>
      <c r="J26" s="107">
        <f>IF(OR(J25="",J25=0),"",IF(J25&gt;H25,2,IF(J25&lt;H25,0,1)))</f>
        <v>2</v>
      </c>
      <c r="K26" s="106">
        <f>IF(OR(K25="",K25=0),"",IF(K25&gt;M25,2,IF(K25&lt;M25,0,1)))</f>
        <v>0</v>
      </c>
      <c r="L26" s="40" t="s">
        <v>16</v>
      </c>
      <c r="M26" s="107">
        <f>IF(OR(M25="",M25=0),"",IF(M25&gt;K25,2,IF(M25&lt;K25,0,1)))</f>
        <v>2</v>
      </c>
      <c r="N26" s="106">
        <f>IF(OR(N25="",N25=0),"",IF(N25&gt;P25,2,IF(N25&lt;P25,0,1)))</f>
        <v>2</v>
      </c>
      <c r="O26" s="40" t="s">
        <v>16</v>
      </c>
      <c r="P26" s="107">
        <f>IF(OR(P25="",P25=0),"",IF(P25&gt;N25,2,IF(P25&lt;N25,0,1)))</f>
        <v>0</v>
      </c>
      <c r="Q26" s="106" t="str">
        <f>IF(OR(Q25="",Q25=0),"",IF(Q25&gt;S25,2,IF(Q25&lt;S25,0,1)))</f>
        <v/>
      </c>
      <c r="R26" s="40" t="s">
        <v>16</v>
      </c>
      <c r="S26" s="107" t="str">
        <f>IF(OR(S25="",S25=0),"",IF(S25&gt;Q25,2,IF(S25&lt;Q25,0,1)))</f>
        <v/>
      </c>
      <c r="T26" s="106">
        <f>IF(Y26="","",SUM(E26,H26,K26,N26,Q26))</f>
        <v>2</v>
      </c>
      <c r="U26" s="40" t="s">
        <v>16</v>
      </c>
      <c r="V26" s="107">
        <f>IF(Y26="","",SUM(G26,J26,M26,P26,S26))</f>
        <v>4</v>
      </c>
      <c r="W26" s="108"/>
      <c r="X26" s="309">
        <f>+(T26-V26)+T25/V25+T26</f>
        <v>1.0104166666666667</v>
      </c>
      <c r="Y26" s="99" t="s">
        <v>17</v>
      </c>
    </row>
    <row r="27" spans="1:46" ht="15.2" customHeight="1">
      <c r="A27" s="34">
        <v>12</v>
      </c>
      <c r="C27" s="89" t="str">
        <f>IF(Daten!E26="","",Daten!E26)</f>
        <v/>
      </c>
      <c r="D27" s="90" t="str">
        <f>IF(Daten!F26="","",Daten!F26)</f>
        <v>Schwaben</v>
      </c>
      <c r="E27" s="94">
        <f>IF(J25="","",J25)</f>
        <v>39</v>
      </c>
      <c r="F27" s="49" t="s">
        <v>15</v>
      </c>
      <c r="G27" s="95">
        <f>IF(H25="","",H25)</f>
        <v>30</v>
      </c>
      <c r="H27" s="91"/>
      <c r="I27" s="92"/>
      <c r="J27" s="93"/>
      <c r="K27" s="94">
        <f>IF(ISERROR(VLOOKUP($A$4&amp;TEXT($A27,"00")&amp;TEXT(L$23,"00"),Samstag!$B$24:$T$162,16,FALSE)),"",VLOOKUP($A$4&amp;TEXT($A27,"00")&amp;TEXT(L$23,"00"),Samstag!$B$24:$T$162,16,FALSE))</f>
        <v>42</v>
      </c>
      <c r="L27" s="49" t="s">
        <v>15</v>
      </c>
      <c r="M27" s="95">
        <f>IF(ISERROR(VLOOKUP($A$4&amp;TEXT($A27,"00")&amp;TEXT(L$23,"00"),Samstag!$B$24:$T$162,18,FALSE)),"",VLOOKUP($A$4&amp;TEXT($A27,"00")&amp;TEXT(L$23,"00"),Samstag!$B$24:$T$162,18,FALSE))</f>
        <v>28</v>
      </c>
      <c r="N27" s="94">
        <f>IF(ISERROR(VLOOKUP($A$4&amp;TEXT($A27,"00")&amp;TEXT(O$23,"00"),Samstag!$B$24:$T$162,16,FALSE)),"",VLOOKUP($A$4&amp;TEXT($A27,"00")&amp;TEXT(O$23,"00"),Samstag!$B$24:$T$162,16,FALSE))</f>
        <v>43</v>
      </c>
      <c r="O27" s="49" t="s">
        <v>15</v>
      </c>
      <c r="P27" s="95">
        <f>IF(ISERROR(VLOOKUP($A$4&amp;TEXT($A27,"00")&amp;TEXT(O$23,"00"),Samstag!$B$24:$T$162,18,FALSE)),"",VLOOKUP($A$4&amp;TEXT($A27,"00")&amp;TEXT(O$23,"00"),Samstag!$B$24:$T$162,18,FALSE))</f>
        <v>20</v>
      </c>
      <c r="Q27" s="94" t="str">
        <f>IF(ISERROR(VLOOKUP($A$4&amp;TEXT($A27,"00")&amp;TEXT(R$23,"00"),Samstag!$B$24:$T$162,16,FALSE)),"",VLOOKUP($A$4&amp;TEXT($A27,"00")&amp;TEXT(R$23,"00"),Samstag!$B$24:$T$162,16,FALSE))</f>
        <v/>
      </c>
      <c r="R27" s="49" t="s">
        <v>15</v>
      </c>
      <c r="S27" s="95" t="str">
        <f>IF(ISERROR(VLOOKUP($A$4&amp;TEXT($A27,"00")&amp;TEXT(R$23,"00"),Samstag!$B$24:$T$162,18,FALSE)),"",VLOOKUP($A$4&amp;TEXT($A27,"00")&amp;TEXT(R$23,"00"),Samstag!$B$24:$T$162,18,FALSE))</f>
        <v/>
      </c>
      <c r="T27" s="96">
        <f>IF(Y28="","",SUM(E27,H27,K27,N27,Q27))</f>
        <v>124</v>
      </c>
      <c r="U27" s="49" t="s">
        <v>15</v>
      </c>
      <c r="V27" s="97">
        <f>IF(Y28="","",SUM(G27,J27,M27,P27,S27))</f>
        <v>78</v>
      </c>
      <c r="W27" s="110">
        <f>IF(Y27="","",RANK(X28,($X$26,$X$28,$X$30,$X$32,$X$34),0))</f>
        <v>1</v>
      </c>
      <c r="X27" s="308"/>
      <c r="Y27" s="99" t="s">
        <v>17</v>
      </c>
      <c r="AB27" s="34">
        <v>2</v>
      </c>
      <c r="AC27" s="34" t="str">
        <f>IF(W27="","",IF($W$25=2,$D$25,IF($W$27=2,$D$27,IF($W$29=2,$D$29,IF($W$31=2,$D$31,IF($W$33=2,$D$33,0))))))</f>
        <v>Bremen</v>
      </c>
    </row>
    <row r="28" spans="1:46" ht="11.1" customHeight="1">
      <c r="C28" s="133"/>
      <c r="D28" s="134"/>
      <c r="E28" s="106">
        <f>IF(OR(E27="",E27=0),"",IF(E27&gt;G27,2,IF(E27&lt;G27,0,1)))</f>
        <v>2</v>
      </c>
      <c r="F28" s="40" t="s">
        <v>16</v>
      </c>
      <c r="G28" s="107">
        <f>IF(OR(G27="",G27=0),"",IF(G27&gt;E27,2,IF(G27&lt;E27,0,1)))</f>
        <v>0</v>
      </c>
      <c r="H28" s="103"/>
      <c r="I28" s="104"/>
      <c r="J28" s="105"/>
      <c r="K28" s="106">
        <f>IF(OR(K27="",K27=0),"",IF(K27&gt;M27,2,IF(K27&lt;M27,0,1)))</f>
        <v>2</v>
      </c>
      <c r="L28" s="40" t="s">
        <v>16</v>
      </c>
      <c r="M28" s="107">
        <f>IF(OR(M27="",M27=0),"",IF(M27&gt;K27,2,IF(M27&lt;K27,0,1)))</f>
        <v>0</v>
      </c>
      <c r="N28" s="106">
        <f>IF(OR(N27="",N27=0),"",IF(N27&gt;P27,2,IF(N27&lt;P27,0,1)))</f>
        <v>2</v>
      </c>
      <c r="O28" s="40" t="s">
        <v>16</v>
      </c>
      <c r="P28" s="107">
        <f>IF(OR(P27="",P27=0),"",IF(P27&gt;N27,2,IF(P27&lt;N27,0,1)))</f>
        <v>0</v>
      </c>
      <c r="Q28" s="106" t="str">
        <f>IF(OR(Q27="",Q27=0),"",IF(Q27&gt;S27,2,IF(Q27&lt;S27,0,1)))</f>
        <v/>
      </c>
      <c r="R28" s="40" t="s">
        <v>16</v>
      </c>
      <c r="S28" s="107" t="str">
        <f>IF(OR(S27="",S27=0),"",IF(S27&gt;Q27,2,IF(S27&lt;Q27,0,1)))</f>
        <v/>
      </c>
      <c r="T28" s="106">
        <f>IF(Y28="","",SUM(E28,H28,K28,N28,Q28))</f>
        <v>6</v>
      </c>
      <c r="U28" s="40" t="s">
        <v>16</v>
      </c>
      <c r="V28" s="107">
        <f>IF(Y28="","",SUM(G28,J28,M28,P28,S28))</f>
        <v>0</v>
      </c>
      <c r="W28" s="108"/>
      <c r="X28" s="309">
        <f>+(T28-V28)+T27/V27+T28</f>
        <v>13.589743589743589</v>
      </c>
      <c r="Y28" s="99" t="s">
        <v>17</v>
      </c>
    </row>
    <row r="29" spans="1:46" ht="15.2" customHeight="1">
      <c r="A29" s="34">
        <v>13</v>
      </c>
      <c r="C29" s="89" t="str">
        <f>IF(Daten!E27="","",Daten!E27)</f>
        <v/>
      </c>
      <c r="D29" s="90" t="str">
        <f>IF(Daten!F27="","",Daten!F27)</f>
        <v>Bremen</v>
      </c>
      <c r="E29" s="94">
        <f>IF(M25="","",M25)</f>
        <v>35</v>
      </c>
      <c r="F29" s="49" t="s">
        <v>15</v>
      </c>
      <c r="G29" s="95">
        <f>IF(K25="","",K25)</f>
        <v>32</v>
      </c>
      <c r="H29" s="94">
        <f>IF(M27="","",M27)</f>
        <v>28</v>
      </c>
      <c r="I29" s="49" t="s">
        <v>15</v>
      </c>
      <c r="J29" s="95">
        <f>IF(K27="","",K27)</f>
        <v>42</v>
      </c>
      <c r="K29" s="91"/>
      <c r="L29" s="92"/>
      <c r="M29" s="93"/>
      <c r="N29" s="94">
        <f>IF(ISERROR(VLOOKUP($A$4&amp;TEXT($A29,"00")&amp;TEXT(O$23,"00"),Samstag!$B$24:$T$162,16,FALSE)),"",VLOOKUP($A$4&amp;TEXT($A29,"00")&amp;TEXT(O$23,"00"),Samstag!$B$24:$T$162,16,FALSE))</f>
        <v>39</v>
      </c>
      <c r="O29" s="49" t="s">
        <v>15</v>
      </c>
      <c r="P29" s="95">
        <f>IF(ISERROR(VLOOKUP($A$4&amp;TEXT($A29,"00")&amp;TEXT(O$23,"00"),Samstag!$B$24:$T$162,18,FALSE)),"",VLOOKUP($A$4&amp;TEXT($A29,"00")&amp;TEXT(O$23,"00"),Samstag!$B$24:$T$162,18,FALSE))</f>
        <v>19</v>
      </c>
      <c r="Q29" s="94" t="str">
        <f>IF(ISERROR(VLOOKUP($A$4&amp;TEXT($A29,"00")&amp;TEXT(R$23,"00"),Samstag!$B$24:$T$162,16,FALSE)),"",VLOOKUP($A$4&amp;TEXT($A29,"00")&amp;TEXT(R$23,"00"),Samstag!$B$24:$T$162,16,FALSE))</f>
        <v/>
      </c>
      <c r="R29" s="49" t="s">
        <v>15</v>
      </c>
      <c r="S29" s="95" t="str">
        <f>IF(ISERROR(VLOOKUP($A$4&amp;TEXT($A29,"00")&amp;TEXT(R$23,"00"),Samstag!$B$24:$T$162,18,FALSE)),"",VLOOKUP($A$4&amp;TEXT($A29,"00")&amp;TEXT(R$23,"00"),Samstag!$B$24:$T$162,18,FALSE))</f>
        <v/>
      </c>
      <c r="T29" s="96">
        <f>IF(Y30="","",SUM(E29,H29,K29,N29,Q29))</f>
        <v>102</v>
      </c>
      <c r="U29" s="49" t="s">
        <v>15</v>
      </c>
      <c r="V29" s="97">
        <f>IF(Y30="","",SUM(G29,J29,M29,P29,S29))</f>
        <v>93</v>
      </c>
      <c r="W29" s="110">
        <f>IF(Y29="","",RANK(X30,($X$26,$X$28,$X$30,$X$32,$X$34),0))</f>
        <v>2</v>
      </c>
      <c r="X29" s="308"/>
      <c r="Y29" s="99" t="s">
        <v>17</v>
      </c>
      <c r="AB29" s="34">
        <v>3</v>
      </c>
      <c r="AC29" s="34" t="str">
        <f>IF(W29="","",IF($W$25=3,$D$25,IF($W$27=3,$D$27,IF($W$29=3,$D$29,IF($W$31=3,$D$31,IF($W$33=3,$D$33,0))))))</f>
        <v>Sachsen</v>
      </c>
      <c r="AD29" s="190">
        <v>1</v>
      </c>
      <c r="AE29" s="191" t="str">
        <f>IF(AC12="","4. "&amp;D5,AC12)</f>
        <v>Niedersachsen</v>
      </c>
      <c r="AF29" s="192"/>
      <c r="AG29" s="179"/>
      <c r="AH29" s="193"/>
      <c r="AI29" s="190">
        <f>+K44</f>
        <v>38</v>
      </c>
      <c r="AJ29" s="49" t="s">
        <v>15</v>
      </c>
      <c r="AK29" s="191">
        <f>+M44</f>
        <v>24</v>
      </c>
      <c r="AL29" s="190">
        <f>+K46</f>
        <v>44</v>
      </c>
      <c r="AM29" s="49" t="s">
        <v>15</v>
      </c>
      <c r="AN29" s="191">
        <f>+M46</f>
        <v>17</v>
      </c>
      <c r="AO29" s="96">
        <f>IF(AT30="","",SUM(AF29,AI29,AL29))</f>
        <v>82</v>
      </c>
      <c r="AP29" s="49" t="s">
        <v>15</v>
      </c>
      <c r="AQ29" s="97">
        <f>IF(AT30="","",SUM(AH29,AK29,AN29))</f>
        <v>41</v>
      </c>
      <c r="AR29" s="110">
        <f>IF(AT29="","",RANK(AS30,($AS$30,$AS$32,$AS$34),0))</f>
        <v>1</v>
      </c>
      <c r="AT29" s="34" t="s">
        <v>17</v>
      </c>
    </row>
    <row r="30" spans="1:46" ht="11.1" customHeight="1">
      <c r="C30" s="135"/>
      <c r="D30" s="136"/>
      <c r="E30" s="106">
        <f>IF(OR(E29="",E29=0),"",IF(E29&gt;G29,2,IF(E29&lt;G29,0,1)))</f>
        <v>2</v>
      </c>
      <c r="F30" s="40" t="s">
        <v>16</v>
      </c>
      <c r="G30" s="107">
        <f>IF(OR(G29="",G29=0),"",IF(G29&gt;E29,2,IF(G29&lt;E29,0,1)))</f>
        <v>0</v>
      </c>
      <c r="H30" s="106">
        <f>IF(OR(H29="",H29=0),"",IF(H29&gt;J29,2,IF(H29&lt;J29,0,1)))</f>
        <v>0</v>
      </c>
      <c r="I30" s="40" t="s">
        <v>16</v>
      </c>
      <c r="J30" s="107">
        <f>IF(OR(J29="",J29=0),"",IF(J29&gt;H29,2,IF(J29&lt;H29,0,1)))</f>
        <v>2</v>
      </c>
      <c r="K30" s="103"/>
      <c r="L30" s="104"/>
      <c r="M30" s="105"/>
      <c r="N30" s="106">
        <f>IF(OR(N29="",N29=0),"",IF(N29&gt;P29,2,IF(N29&lt;P29,0,1)))</f>
        <v>2</v>
      </c>
      <c r="O30" s="40" t="s">
        <v>16</v>
      </c>
      <c r="P30" s="107">
        <f>IF(OR(P29="",P29=0),"",IF(P29&gt;N29,2,IF(P29&lt;N29,0,1)))</f>
        <v>0</v>
      </c>
      <c r="Q30" s="106" t="str">
        <f>IF(OR(Q29="",Q29=0),"",IF(Q29&gt;S29,2,IF(Q29&lt;S29,0,1)))</f>
        <v/>
      </c>
      <c r="R30" s="40" t="s">
        <v>16</v>
      </c>
      <c r="S30" s="107" t="str">
        <f>IF(OR(S29="",S29=0),"",IF(S29&gt;Q29,2,IF(S29&lt;Q29,0,1)))</f>
        <v/>
      </c>
      <c r="T30" s="106">
        <f>IF(Y30="","",SUM(E30,H30,K30,N30,Q30))</f>
        <v>4</v>
      </c>
      <c r="U30" s="40" t="s">
        <v>16</v>
      </c>
      <c r="V30" s="107">
        <f>IF(Y30="","",SUM(G30,J30,M30,P30,S30))</f>
        <v>2</v>
      </c>
      <c r="W30" s="108"/>
      <c r="X30" s="309">
        <f>+(T30-V30)+T29/V29+T30</f>
        <v>7.096774193548387</v>
      </c>
      <c r="Y30" s="99" t="s">
        <v>17</v>
      </c>
      <c r="AD30" s="194"/>
      <c r="AE30" s="195"/>
      <c r="AF30" s="196"/>
      <c r="AG30" s="197"/>
      <c r="AH30" s="198"/>
      <c r="AI30" s="106">
        <f>IF(OR(AI29="",AI29=0),"",IF(AI29&gt;AK29,2,IF(AI29&lt;AK29,0,1)))</f>
        <v>2</v>
      </c>
      <c r="AJ30" s="40" t="s">
        <v>16</v>
      </c>
      <c r="AK30" s="107">
        <f>IF(OR(AK29="",AK29=0),"",IF(AK29&gt;AI29,2,IF(AK29&lt;AI29,0,1)))</f>
        <v>0</v>
      </c>
      <c r="AL30" s="106">
        <f>IF(OR(AL29="",AL29=0),"",IF(AL29&gt;AN29,2,IF(AL29&lt;AN29,0,1)))</f>
        <v>2</v>
      </c>
      <c r="AM30" s="40" t="s">
        <v>16</v>
      </c>
      <c r="AN30" s="107">
        <f>IF(OR(AN29="",AN29=0),"",IF(AN29&gt;AL29,2,IF(AN29&lt;AL29,0,1)))</f>
        <v>0</v>
      </c>
      <c r="AO30" s="106">
        <f>IF(AT30="","",SUM(AF30,AI30,AL30))</f>
        <v>4</v>
      </c>
      <c r="AP30" s="40" t="s">
        <v>16</v>
      </c>
      <c r="AQ30" s="107">
        <f>IF(AT30="","",SUM(AH30,AK30,AN30))</f>
        <v>0</v>
      </c>
      <c r="AR30" s="199"/>
      <c r="AS30" s="109">
        <f>+(AO30-AQ30)+AO29/AQ29+AO30</f>
        <v>10</v>
      </c>
      <c r="AT30" s="34" t="s">
        <v>17</v>
      </c>
    </row>
    <row r="31" spans="1:46" ht="15.2" customHeight="1">
      <c r="A31" s="34">
        <v>14</v>
      </c>
      <c r="C31" s="89" t="str">
        <f>IF(Daten!E28="","",Daten!E28)</f>
        <v/>
      </c>
      <c r="D31" s="90" t="str">
        <f>IF(Daten!F28="","",Daten!F28)</f>
        <v>Rheinland</v>
      </c>
      <c r="E31" s="94">
        <f>IF(P25="","",P25)</f>
        <v>22</v>
      </c>
      <c r="F31" s="49" t="s">
        <v>15</v>
      </c>
      <c r="G31" s="95">
        <f>IF(N25="","",N25)</f>
        <v>35</v>
      </c>
      <c r="H31" s="94">
        <f>IF(P27="","",P27)</f>
        <v>20</v>
      </c>
      <c r="I31" s="49" t="s">
        <v>15</v>
      </c>
      <c r="J31" s="95">
        <f>IF(N27="","",N27)</f>
        <v>43</v>
      </c>
      <c r="K31" s="94">
        <f>IF(P29="","",P29)</f>
        <v>19</v>
      </c>
      <c r="L31" s="49" t="s">
        <v>15</v>
      </c>
      <c r="M31" s="95">
        <f>IF(N29="","",N29)</f>
        <v>39</v>
      </c>
      <c r="N31" s="91"/>
      <c r="O31" s="92"/>
      <c r="P31" s="93"/>
      <c r="Q31" s="94" t="str">
        <f>IF(ISERROR(VLOOKUP($A$4&amp;TEXT($A31,"00")&amp;TEXT(R$23,"00"),Samstag!$B$24:$T$162,16,FALSE)),"",VLOOKUP($A$4&amp;TEXT($A31,"00")&amp;TEXT(R$23,"00"),Samstag!$B$24:$T$162,16,FALSE))</f>
        <v/>
      </c>
      <c r="R31" s="49" t="s">
        <v>15</v>
      </c>
      <c r="S31" s="95" t="str">
        <f>IF(ISERROR(VLOOKUP($A$4&amp;TEXT($A31,"00")&amp;TEXT(R$23,"00"),Samstag!$B$24:$T$162,18,FALSE)),"",VLOOKUP($A$4&amp;TEXT($A31,"00")&amp;TEXT(R$23,"00"),Samstag!$B$24:$T$162,18,FALSE))</f>
        <v/>
      </c>
      <c r="T31" s="96">
        <f>IF(Y32="","",SUM(E31,H31,K31,N31,Q31))</f>
        <v>61</v>
      </c>
      <c r="U31" s="49" t="s">
        <v>15</v>
      </c>
      <c r="V31" s="97">
        <f>IF(Y32="","",SUM(G31,J31,M31,P31,S31))</f>
        <v>117</v>
      </c>
      <c r="W31" s="110">
        <f>IF(Y31="","",RANK(X32,($X$26,$X$28,$X$30,$X$32,$X$34),0))</f>
        <v>4</v>
      </c>
      <c r="X31" s="308"/>
      <c r="Y31" s="99" t="s">
        <v>17</v>
      </c>
      <c r="AB31" s="34">
        <v>4</v>
      </c>
      <c r="AC31" s="34" t="str">
        <f>IF(W31="","",IF($W$25=4,$D$25,IF($W$27=4,$D$27,IF($W$29=4,$D$29,IF($W$31=4,$D$31,IF($W$33=4,$D$33,0))))))</f>
        <v>Rheinland</v>
      </c>
      <c r="AD31" s="190">
        <v>2</v>
      </c>
      <c r="AE31" s="191" t="str">
        <f>IF(AC14="","5. "&amp;D5,AC14)</f>
        <v>Berlin</v>
      </c>
      <c r="AF31" s="190">
        <f>+AK29</f>
        <v>24</v>
      </c>
      <c r="AG31" s="49" t="s">
        <v>15</v>
      </c>
      <c r="AH31" s="191">
        <f>+AI29</f>
        <v>38</v>
      </c>
      <c r="AI31" s="192"/>
      <c r="AJ31" s="179"/>
      <c r="AK31" s="193"/>
      <c r="AL31" s="190">
        <f>+M42</f>
        <v>35</v>
      </c>
      <c r="AM31" s="49" t="s">
        <v>15</v>
      </c>
      <c r="AN31" s="191">
        <f>+K42</f>
        <v>21</v>
      </c>
      <c r="AO31" s="96">
        <f>IF(AT32="","",SUM(AF31,AI31,AL31))</f>
        <v>59</v>
      </c>
      <c r="AP31" s="49" t="s">
        <v>15</v>
      </c>
      <c r="AQ31" s="97">
        <f>IF(AT32="","",SUM(AH31,AK31,AN31))</f>
        <v>59</v>
      </c>
      <c r="AR31" s="110">
        <f>IF(AT31="","",RANK(AS32,($AS$30,$AS$32,$AS$34),0))</f>
        <v>2</v>
      </c>
      <c r="AT31" s="34" t="s">
        <v>17</v>
      </c>
    </row>
    <row r="32" spans="1:46" ht="11.1" customHeight="1">
      <c r="C32" s="133"/>
      <c r="D32" s="136"/>
      <c r="E32" s="106">
        <f>IF(OR(E31="",E31=0),"",IF(E31&gt;G31,2,IF(E31&lt;G31,0,1)))</f>
        <v>0</v>
      </c>
      <c r="F32" s="40" t="s">
        <v>16</v>
      </c>
      <c r="G32" s="107">
        <f>IF(OR(G31="",G31=0),"",IF(G31&gt;E31,2,IF(G31&lt;E31,0,1)))</f>
        <v>2</v>
      </c>
      <c r="H32" s="106">
        <f>IF(OR(H31="",H31=0),"",IF(H31&gt;J31,2,IF(H31&lt;J31,0,1)))</f>
        <v>0</v>
      </c>
      <c r="I32" s="40" t="s">
        <v>16</v>
      </c>
      <c r="J32" s="107">
        <f>IF(OR(J31="",J31=0),"",IF(J31&gt;H31,2,IF(J31&lt;H31,0,1)))</f>
        <v>2</v>
      </c>
      <c r="K32" s="106">
        <f>IF(OR(K31="",K31=0),"",IF(K31&gt;M31,2,IF(K31&lt;M31,0,1)))</f>
        <v>0</v>
      </c>
      <c r="L32" s="40" t="s">
        <v>16</v>
      </c>
      <c r="M32" s="107">
        <f>IF(OR(M31="",M31=0),"",IF(M31&gt;K31,2,IF(M31&lt;K31,0,1)))</f>
        <v>2</v>
      </c>
      <c r="N32" s="103"/>
      <c r="O32" s="104"/>
      <c r="P32" s="105"/>
      <c r="Q32" s="106" t="str">
        <f>IF(OR(Q31="",Q31=0),"",IF(Q31&gt;S31,2,IF(Q31&lt;S31,0,1)))</f>
        <v/>
      </c>
      <c r="R32" s="40" t="s">
        <v>16</v>
      </c>
      <c r="S32" s="107" t="str">
        <f>IF(OR(S31="",S31=0),"",IF(S31&gt;Q31,2,IF(S31&lt;Q31,0,1)))</f>
        <v/>
      </c>
      <c r="T32" s="106">
        <f>IF(Y32="","",SUM(E32,H32,K32,N32,Q32))</f>
        <v>0</v>
      </c>
      <c r="U32" s="40" t="s">
        <v>16</v>
      </c>
      <c r="V32" s="107">
        <f>IF(Y32="","",SUM(G32,J32,M32,P32,S32))</f>
        <v>6</v>
      </c>
      <c r="W32" s="108"/>
      <c r="X32" s="309">
        <f>+(T32-V32)+T31/V31+T32</f>
        <v>-5.4786324786324787</v>
      </c>
      <c r="Y32" s="99" t="s">
        <v>17</v>
      </c>
      <c r="AD32" s="194"/>
      <c r="AE32" s="195"/>
      <c r="AF32" s="106">
        <f>IF(OR(AF31="",AF31=0),"",IF(AF31&gt;AH31,2,IF(AF31&lt;AH31,0,1)))</f>
        <v>0</v>
      </c>
      <c r="AG32" s="40" t="s">
        <v>16</v>
      </c>
      <c r="AH32" s="107">
        <f>IF(OR(AH31="",AH31=0),"",IF(AH31&gt;AF31,2,IF(AH31&lt;AF31,0,1)))</f>
        <v>2</v>
      </c>
      <c r="AI32" s="196"/>
      <c r="AJ32" s="197"/>
      <c r="AK32" s="198"/>
      <c r="AL32" s="106">
        <f>IF(OR(AL31="",AL31=0),"",IF(AL31&gt;AN31,2,IF(AL31&lt;AN31,0,1)))</f>
        <v>2</v>
      </c>
      <c r="AM32" s="40" t="s">
        <v>16</v>
      </c>
      <c r="AN32" s="107">
        <f>IF(OR(AN31="",AN31=0),"",IF(AN31&gt;AL31,2,IF(AN31&lt;AL31,0,1)))</f>
        <v>0</v>
      </c>
      <c r="AO32" s="106">
        <f>IF(AT32="","",SUM(AF32,AI32,AL32))</f>
        <v>2</v>
      </c>
      <c r="AP32" s="40" t="s">
        <v>16</v>
      </c>
      <c r="AQ32" s="107">
        <f>IF(AT32="","",SUM(AH32,AK32,AN32))</f>
        <v>2</v>
      </c>
      <c r="AR32" s="199"/>
      <c r="AS32" s="109">
        <f>+(AO32-AQ32)+AO31/AQ31+AO32</f>
        <v>3</v>
      </c>
      <c r="AT32" s="34" t="s">
        <v>17</v>
      </c>
    </row>
    <row r="33" spans="1:46" ht="15.2" customHeight="1">
      <c r="A33" s="34">
        <v>15</v>
      </c>
      <c r="C33" s="89" t="str">
        <f>IF(Daten!E29="","",Daten!E29)</f>
        <v/>
      </c>
      <c r="D33" s="90" t="str">
        <f>IF(Daten!F29="","",Daten!F29)</f>
        <v/>
      </c>
      <c r="E33" s="94" t="str">
        <f>IF(S25="","",S25)</f>
        <v/>
      </c>
      <c r="F33" s="49" t="s">
        <v>15</v>
      </c>
      <c r="G33" s="95" t="str">
        <f>IF(Q25="","",Q25)</f>
        <v/>
      </c>
      <c r="H33" s="94" t="str">
        <f>IF(S27="","",S27)</f>
        <v/>
      </c>
      <c r="I33" s="49" t="s">
        <v>15</v>
      </c>
      <c r="J33" s="95" t="str">
        <f>IF(Q27="","",Q27)</f>
        <v/>
      </c>
      <c r="K33" s="94" t="str">
        <f>IF(S29="","",S29)</f>
        <v/>
      </c>
      <c r="L33" s="49" t="s">
        <v>15</v>
      </c>
      <c r="M33" s="95" t="str">
        <f>IF(Q29="","",Q29)</f>
        <v/>
      </c>
      <c r="N33" s="94" t="str">
        <f>IF(S31="","",S31)</f>
        <v/>
      </c>
      <c r="O33" s="49" t="s">
        <v>15</v>
      </c>
      <c r="P33" s="95" t="str">
        <f>IF(Q31="","",Q31)</f>
        <v/>
      </c>
      <c r="Q33" s="91"/>
      <c r="R33" s="92"/>
      <c r="S33" s="93"/>
      <c r="T33" s="298" t="str">
        <f>IF(Y34="","",SUM(E33,H33,K33,N33,Q33))</f>
        <v/>
      </c>
      <c r="U33" s="49" t="s">
        <v>15</v>
      </c>
      <c r="V33" s="300" t="str">
        <f>IF(Y34="","",SUM(G33,J33,M33,P33,S33))</f>
        <v/>
      </c>
      <c r="W33" s="110" t="str">
        <f>IF(Y33="","",RANK(X34,($X$26,$X$28,$X$30,$X$32,$X$34),0))</f>
        <v/>
      </c>
      <c r="X33" s="308" t="s">
        <v>17</v>
      </c>
      <c r="Y33" s="99"/>
      <c r="AB33" s="34">
        <v>5</v>
      </c>
      <c r="AC33" s="34" t="str">
        <f>IF(W33="","",IF($W$25=5,$D$25,IF($W$27=5,$D$27,IF($W$29=5,$D$29,IF($W$31=5,$D$31,IF($W$33=5,$D$33,0))))))</f>
        <v/>
      </c>
      <c r="AD33" s="190">
        <v>3</v>
      </c>
      <c r="AE33" s="191" t="str">
        <f>IF(AC31="","4. "&amp;D24,AC31)</f>
        <v>Rheinland</v>
      </c>
      <c r="AF33" s="190">
        <f>+AN29</f>
        <v>17</v>
      </c>
      <c r="AG33" s="49" t="s">
        <v>15</v>
      </c>
      <c r="AH33" s="191">
        <f>+AL29</f>
        <v>44</v>
      </c>
      <c r="AI33" s="190">
        <f>+AN31</f>
        <v>21</v>
      </c>
      <c r="AJ33" s="49" t="s">
        <v>15</v>
      </c>
      <c r="AK33" s="191">
        <f>+AL31</f>
        <v>35</v>
      </c>
      <c r="AL33" s="192"/>
      <c r="AM33" s="179"/>
      <c r="AN33" s="193"/>
      <c r="AO33" s="96">
        <f>IF(AT34="","",SUM(AF33,AI33,AL33))</f>
        <v>38</v>
      </c>
      <c r="AP33" s="49" t="s">
        <v>15</v>
      </c>
      <c r="AQ33" s="97">
        <f>IF(AT34="","",SUM(AH33,AK33,AN33))</f>
        <v>79</v>
      </c>
      <c r="AR33" s="110">
        <f>IF(AT33="","",RANK(AS34,($AS$30,$AS$32,$AS$34),0))</f>
        <v>3</v>
      </c>
      <c r="AT33" s="34" t="s">
        <v>17</v>
      </c>
    </row>
    <row r="34" spans="1:46" ht="11.1" customHeight="1">
      <c r="C34" s="135"/>
      <c r="D34" s="136"/>
      <c r="E34" s="106" t="str">
        <f>IF(OR(E33="",E33=0),"",IF(E33&gt;G33,2,IF(E33&lt;G33,0,1)))</f>
        <v/>
      </c>
      <c r="F34" s="40" t="s">
        <v>16</v>
      </c>
      <c r="G34" s="107" t="str">
        <f>IF(OR(G33="",G33=0),"",IF(G33&gt;E33,2,IF(G33&lt;E33,0,1)))</f>
        <v/>
      </c>
      <c r="H34" s="106" t="str">
        <f>IF(OR(H33="",H33=0),"",IF(H33&gt;J33,2,IF(H33&lt;J33,0,1)))</f>
        <v/>
      </c>
      <c r="I34" s="40" t="s">
        <v>16</v>
      </c>
      <c r="J34" s="107" t="str">
        <f>IF(OR(J33="",J33=0),"",IF(J33&gt;H33,2,IF(J33&lt;H33,0,1)))</f>
        <v/>
      </c>
      <c r="K34" s="106" t="str">
        <f>IF(OR(K33="",K33=0),"",IF(K33&gt;M33,2,IF(K33&lt;M33,0,1)))</f>
        <v/>
      </c>
      <c r="L34" s="40" t="s">
        <v>16</v>
      </c>
      <c r="M34" s="107" t="str">
        <f>IF(OR(M33="",M33=0),"",IF(M33&gt;K33,2,IF(M33&lt;K33,0,1)))</f>
        <v/>
      </c>
      <c r="N34" s="106" t="str">
        <f>IF(OR(N33="",N33=0),"",IF(N33&gt;P33,2,IF(N33&lt;P33,0,1)))</f>
        <v/>
      </c>
      <c r="O34" s="40" t="s">
        <v>16</v>
      </c>
      <c r="P34" s="107" t="str">
        <f>IF(OR(P33="",P33=0),"",IF(P33&gt;N33,2,IF(P33&lt;N33,0,1)))</f>
        <v/>
      </c>
      <c r="Q34" s="103"/>
      <c r="R34" s="104"/>
      <c r="S34" s="105"/>
      <c r="T34" s="299" t="str">
        <f>IF(Y34="","",SUM(E34,H34,K34,N34,Q34))</f>
        <v/>
      </c>
      <c r="U34" s="40" t="s">
        <v>16</v>
      </c>
      <c r="V34" s="301" t="str">
        <f>IF(Y34="","",SUM(G34,J34,M34,P34,S34))</f>
        <v/>
      </c>
      <c r="W34" s="108"/>
      <c r="X34" s="109"/>
      <c r="Y34" s="99"/>
      <c r="AD34" s="194"/>
      <c r="AE34" s="195"/>
      <c r="AF34" s="106">
        <f>IF(OR(AF33="",AF33=0),"",IF(AF33&gt;AH33,2,IF(AF33&lt;AH33,0,1)))</f>
        <v>0</v>
      </c>
      <c r="AG34" s="40" t="s">
        <v>16</v>
      </c>
      <c r="AH34" s="107">
        <f>IF(OR(AH33="",AH33=0),"",IF(AH33&gt;AF33,2,IF(AH33&lt;AF33,0,1)))</f>
        <v>2</v>
      </c>
      <c r="AI34" s="106">
        <f>IF(OR(AI33="",AI33=0),"",IF(AI33&gt;AK33,2,IF(AI33&lt;AK33,0,1)))</f>
        <v>0</v>
      </c>
      <c r="AJ34" s="40" t="s">
        <v>16</v>
      </c>
      <c r="AK34" s="107">
        <f>IF(OR(AK33="",AK33=0),"",IF(AK33&gt;AI33,2,IF(AK33&lt;AI33,0,1)))</f>
        <v>2</v>
      </c>
      <c r="AL34" s="196"/>
      <c r="AM34" s="197"/>
      <c r="AN34" s="198"/>
      <c r="AO34" s="106">
        <f>IF(AT34="","",SUM(AF34,AI34,AL34))</f>
        <v>0</v>
      </c>
      <c r="AP34" s="40" t="s">
        <v>16</v>
      </c>
      <c r="AQ34" s="107">
        <f>IF(AT34="","",SUM(AH34,AK34,AN34))</f>
        <v>4</v>
      </c>
      <c r="AR34" s="199"/>
      <c r="AS34" s="109">
        <f>+(AO34-AQ34)+AO33/AQ33+AO34</f>
        <v>-3.518987341772152</v>
      </c>
      <c r="AT34" s="34" t="s">
        <v>17</v>
      </c>
    </row>
    <row r="35" spans="1:46" ht="10.15" hidden="1" customHeight="1" outlineLevel="1">
      <c r="C35" s="137"/>
      <c r="D35" s="113"/>
      <c r="E35" s="114"/>
      <c r="F35" s="49"/>
      <c r="G35" s="115"/>
      <c r="H35" s="114"/>
      <c r="I35" s="49"/>
      <c r="J35" s="115"/>
      <c r="K35" s="114"/>
      <c r="L35" s="49"/>
      <c r="M35" s="115"/>
      <c r="N35" s="114"/>
      <c r="O35" s="49"/>
      <c r="P35" s="115"/>
      <c r="Q35" s="116"/>
      <c r="R35" s="116"/>
      <c r="S35" s="116"/>
      <c r="T35" s="114"/>
      <c r="U35" s="49"/>
      <c r="V35" s="115"/>
      <c r="W35" s="117"/>
      <c r="X35" s="109"/>
      <c r="Y35" s="99" t="s">
        <v>17</v>
      </c>
      <c r="AT35" s="34" t="s">
        <v>17</v>
      </c>
    </row>
    <row r="36" spans="1:46" ht="10.15" hidden="1" customHeight="1" outlineLevel="1">
      <c r="C36" s="118" t="s">
        <v>18</v>
      </c>
      <c r="D36" s="119" t="str">
        <f>+D25</f>
        <v>Sachsen</v>
      </c>
      <c r="E36" s="120"/>
      <c r="F36" s="121"/>
      <c r="G36" s="122"/>
      <c r="H36" s="123"/>
      <c r="I36" s="124" t="s">
        <v>15</v>
      </c>
      <c r="J36" s="125"/>
      <c r="K36" s="123"/>
      <c r="L36" s="124" t="s">
        <v>15</v>
      </c>
      <c r="M36" s="125"/>
      <c r="N36" s="123"/>
      <c r="O36" s="124" t="s">
        <v>15</v>
      </c>
      <c r="P36" s="125"/>
      <c r="Q36" s="126"/>
      <c r="R36" s="124" t="s">
        <v>15</v>
      </c>
      <c r="S36" s="127"/>
      <c r="T36" s="37"/>
      <c r="U36" s="38"/>
      <c r="V36" s="42"/>
      <c r="W36" s="41"/>
      <c r="X36" s="109"/>
      <c r="Y36" s="99"/>
    </row>
    <row r="37" spans="1:46" ht="10.15" hidden="1" customHeight="1" outlineLevel="1">
      <c r="C37" s="128"/>
      <c r="D37" s="119" t="str">
        <f>+D27</f>
        <v>Schwaben</v>
      </c>
      <c r="E37" s="123" t="str">
        <f>IF(J36="","",J36)</f>
        <v/>
      </c>
      <c r="F37" s="124" t="s">
        <v>15</v>
      </c>
      <c r="G37" s="125" t="str">
        <f>IF(H36="","",H36)</f>
        <v/>
      </c>
      <c r="H37" s="120"/>
      <c r="I37" s="121"/>
      <c r="J37" s="122"/>
      <c r="K37" s="123"/>
      <c r="L37" s="124" t="s">
        <v>15</v>
      </c>
      <c r="M37" s="125"/>
      <c r="N37" s="123"/>
      <c r="O37" s="124" t="s">
        <v>15</v>
      </c>
      <c r="P37" s="125"/>
      <c r="Q37" s="126"/>
      <c r="R37" s="124" t="s">
        <v>15</v>
      </c>
      <c r="S37" s="127"/>
      <c r="T37" s="37"/>
      <c r="U37" s="38"/>
      <c r="V37" s="42"/>
      <c r="W37" s="41"/>
      <c r="X37" s="109"/>
      <c r="Y37" s="99"/>
    </row>
    <row r="38" spans="1:46" ht="10.15" hidden="1" customHeight="1" outlineLevel="1">
      <c r="C38" s="128"/>
      <c r="D38" s="119" t="str">
        <f>+D29</f>
        <v>Bremen</v>
      </c>
      <c r="E38" s="123" t="str">
        <f>IF(M36="","",M36)</f>
        <v/>
      </c>
      <c r="F38" s="124" t="s">
        <v>15</v>
      </c>
      <c r="G38" s="125" t="str">
        <f>IF(K36="","",K36)</f>
        <v/>
      </c>
      <c r="H38" s="123" t="str">
        <f>IF(M37="","",M37)</f>
        <v/>
      </c>
      <c r="I38" s="124" t="s">
        <v>15</v>
      </c>
      <c r="J38" s="125" t="str">
        <f>IF(K37="","",K37)</f>
        <v/>
      </c>
      <c r="K38" s="120"/>
      <c r="L38" s="121"/>
      <c r="M38" s="122"/>
      <c r="N38" s="123"/>
      <c r="O38" s="124" t="s">
        <v>15</v>
      </c>
      <c r="P38" s="125"/>
      <c r="Q38" s="126"/>
      <c r="R38" s="124" t="s">
        <v>15</v>
      </c>
      <c r="S38" s="127"/>
      <c r="T38" s="37"/>
      <c r="U38" s="38"/>
      <c r="V38" s="42"/>
      <c r="W38" s="41"/>
      <c r="X38" s="109"/>
      <c r="Y38" s="99"/>
    </row>
    <row r="39" spans="1:46" ht="10.15" hidden="1" customHeight="1" outlineLevel="1">
      <c r="C39" s="128"/>
      <c r="D39" s="119" t="str">
        <f>+D31</f>
        <v>Rheinland</v>
      </c>
      <c r="E39" s="123" t="str">
        <f>IF(P36="","",P36)</f>
        <v/>
      </c>
      <c r="F39" s="124" t="s">
        <v>15</v>
      </c>
      <c r="G39" s="125" t="str">
        <f>IF(N36="","",N36)</f>
        <v/>
      </c>
      <c r="H39" s="123" t="str">
        <f>IF(P37="","",P37)</f>
        <v/>
      </c>
      <c r="I39" s="124" t="s">
        <v>15</v>
      </c>
      <c r="J39" s="125" t="str">
        <f>IF(N37="","",N37)</f>
        <v/>
      </c>
      <c r="K39" s="123" t="str">
        <f>IF(P38="","",P38)</f>
        <v/>
      </c>
      <c r="L39" s="124" t="s">
        <v>15</v>
      </c>
      <c r="M39" s="125" t="str">
        <f>IF(N38="","",N38)</f>
        <v/>
      </c>
      <c r="N39" s="120"/>
      <c r="O39" s="121"/>
      <c r="P39" s="122"/>
      <c r="Q39" s="138"/>
      <c r="R39" s="124" t="s">
        <v>15</v>
      </c>
      <c r="S39" s="127"/>
      <c r="T39" s="37"/>
      <c r="U39" s="38"/>
      <c r="V39" s="42"/>
      <c r="W39" s="41"/>
      <c r="X39" s="109"/>
      <c r="Y39" s="99"/>
    </row>
    <row r="40" spans="1:46" ht="10.15" hidden="1" customHeight="1" outlineLevel="1">
      <c r="D40" s="119" t="str">
        <f>+D33</f>
        <v/>
      </c>
      <c r="E40" s="123" t="str">
        <f>IF(S36="","",S36)</f>
        <v/>
      </c>
      <c r="F40" s="124" t="s">
        <v>15</v>
      </c>
      <c r="G40" s="125" t="str">
        <f>IF(Q36="","",Q36)</f>
        <v/>
      </c>
      <c r="H40" s="123" t="str">
        <f>IF(S37="","",S37)</f>
        <v/>
      </c>
      <c r="I40" s="124" t="s">
        <v>15</v>
      </c>
      <c r="J40" s="125" t="str">
        <f>IF(Q37="","",Q37)</f>
        <v/>
      </c>
      <c r="K40" s="123" t="str">
        <f>IF(S38="","",S38)</f>
        <v/>
      </c>
      <c r="L40" s="124" t="s">
        <v>15</v>
      </c>
      <c r="M40" s="125" t="str">
        <f>IF(Q38="","",Q38)</f>
        <v/>
      </c>
      <c r="N40" s="139" t="str">
        <f>IF(S39="","",S39)</f>
        <v/>
      </c>
      <c r="O40" s="124" t="s">
        <v>15</v>
      </c>
      <c r="P40" s="125" t="str">
        <f>IF(Q39="","",Q39)</f>
        <v/>
      </c>
      <c r="Q40" s="120"/>
      <c r="R40" s="129"/>
      <c r="S40" s="122"/>
    </row>
    <row r="41" spans="1:46" ht="18" customHeight="1" collapsed="1">
      <c r="B41" s="99"/>
      <c r="C41" s="175" t="s">
        <v>209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</row>
    <row r="42" spans="1:46" ht="17.25" customHeight="1">
      <c r="A42" s="39" t="s">
        <v>182</v>
      </c>
      <c r="B42" s="34" t="s">
        <v>28</v>
      </c>
      <c r="C42" s="140" t="str">
        <f>"5."&amp;+$D$5&amp;"  4."&amp;+$D$24</f>
        <v>5.Gruppe G  4.Gruppe H</v>
      </c>
      <c r="D42" s="141" t="str">
        <f ca="1">"  "&amp;IF(Y32="","",IF(ISERROR(VLOOKUP($A$4&amp;TEXT($A42,"000"),Sonntag!$B$23:$S$161,8,FALSE)),"",VLOOKUP($A$4&amp;TEXT($A42,"000"),Sonntag!$B$23:$S$161,8,FALSE)))&amp;" : "&amp;IF(Y32="","",IF(ISERROR(VLOOKUP($A$4&amp;TEXT($A42,"000"),Sonntag!$B$23:$S$161,11,FALSE)),"",VLOOKUP($A$4&amp;TEXT($A42,"000"),Sonntag!$B$23:$S$161,11,FALSE)))</f>
        <v xml:space="preserve">  Rheinland : Berlin</v>
      </c>
      <c r="E42" s="142"/>
      <c r="F42" s="142"/>
      <c r="G42" s="142"/>
      <c r="H42" s="142"/>
      <c r="I42" s="143"/>
      <c r="J42" s="144"/>
      <c r="K42" s="145">
        <f>IF(N42="","",IF(ISERROR(VLOOKUP($A$4&amp;TEXT($A$42,"000"),Sonntag!$B$23:$S$93,16,FALSE)),"",VLOOKUP($A$4&amp;TEXT($A42,"000"),Sonntag!$B$23:$S$93,16,FALSE)))</f>
        <v>21</v>
      </c>
      <c r="L42" s="48" t="s">
        <v>15</v>
      </c>
      <c r="M42" s="146">
        <f>IF(N42="","",IF(ISERROR(VLOOKUP($A$4&amp;TEXT($A$42,"000"),Sonntag!$B$23:$S$93,18,FALSE)),"",VLOOKUP($A$4&amp;TEXT($A42,"000"),Sonntag!$B$23:$S$93,18,FALSE)))</f>
        <v>35</v>
      </c>
      <c r="N42" s="147" t="s">
        <v>17</v>
      </c>
      <c r="O42" s="72"/>
      <c r="P42" s="53"/>
      <c r="AC42" s="148">
        <f>IF(K42="","",IF(K42&gt;M42,2,IF(K42&lt;M42,0,1)))</f>
        <v>0</v>
      </c>
    </row>
    <row r="43" spans="1:46" ht="4.7" customHeight="1">
      <c r="A43" s="39"/>
      <c r="B43" s="149"/>
      <c r="C43" s="36"/>
      <c r="D43" s="53"/>
      <c r="E43" s="150"/>
      <c r="F43" s="151"/>
      <c r="G43" s="150"/>
      <c r="H43" s="150"/>
      <c r="I43" s="150"/>
      <c r="J43" s="150"/>
      <c r="K43" s="186"/>
      <c r="M43" s="46"/>
      <c r="N43" s="152"/>
    </row>
    <row r="44" spans="1:46" ht="17.25" customHeight="1">
      <c r="A44" s="39" t="s">
        <v>183</v>
      </c>
      <c r="B44" s="34" t="s">
        <v>29</v>
      </c>
      <c r="C44" s="140" t="str">
        <f>"4."&amp;+$D$5&amp;"  5."&amp;+$D$5</f>
        <v>4.Gruppe G  5.Gruppe G</v>
      </c>
      <c r="D44" s="141" t="str">
        <f ca="1">"  "&amp;IF(Y32="","",IF(ISERROR(VLOOKUP($A$4&amp;TEXT($A44,"000"),Sonntag!$B$23:$S$161,8,FALSE)),"",VLOOKUP($A$4&amp;TEXT($A44,"000"),Sonntag!$B$23:$S$161,8,FALSE)))&amp;" : "&amp;IF(Y32="","",IF(ISERROR(VLOOKUP($A$4&amp;TEXT($A44,"000"),Sonntag!$B$23:$S$161,11,FALSE)),"",VLOOKUP($A$4&amp;TEXT($A44,"000"),Sonntag!$B$23:$S$161,11,FALSE)))</f>
        <v xml:space="preserve">  Niedersachsen : Berlin</v>
      </c>
      <c r="E44" s="142"/>
      <c r="F44" s="142"/>
      <c r="G44" s="142"/>
      <c r="H44" s="142"/>
      <c r="I44" s="143"/>
      <c r="J44" s="144"/>
      <c r="K44" s="145">
        <f>IF(N44="","",IF(ISERROR(VLOOKUP($A$4&amp;TEXT($A$42,"000"),Sonntag!$B$23:$S$93,16,FALSE)),"",VLOOKUP($A$4&amp;TEXT($A44,"000"),Sonntag!$B$23:$S$93,16,FALSE)))</f>
        <v>38</v>
      </c>
      <c r="L44" s="48" t="s">
        <v>15</v>
      </c>
      <c r="M44" s="146">
        <f>IF(N44="","",IF(ISERROR(VLOOKUP($A$4&amp;TEXT($A$42,"000"),Sonntag!$B$23:$S$93,18,FALSE)),"",VLOOKUP($A$4&amp;TEXT($A44,"000"),Sonntag!$B$23:$S$93,18,FALSE)))</f>
        <v>24</v>
      </c>
      <c r="N44" s="147" t="s">
        <v>17</v>
      </c>
      <c r="O44" s="72"/>
      <c r="AC44" s="148">
        <f>IF(K44="","",IF(K44&gt;M44,2,IF(K44&lt;M44,0,1)))</f>
        <v>2</v>
      </c>
    </row>
    <row r="45" spans="1:46" ht="4.7" customHeight="1">
      <c r="A45" s="39"/>
      <c r="C45" s="187"/>
      <c r="D45" s="53"/>
      <c r="E45" s="150"/>
      <c r="F45" s="150"/>
      <c r="G45" s="150"/>
      <c r="H45" s="150"/>
      <c r="I45" s="151"/>
      <c r="J45" s="150"/>
      <c r="K45" s="181"/>
      <c r="L45" s="59"/>
      <c r="M45" s="182"/>
      <c r="N45" s="147"/>
      <c r="O45" s="72"/>
      <c r="AC45" s="148"/>
    </row>
    <row r="46" spans="1:46" ht="17.25" customHeight="1">
      <c r="A46" s="39" t="s">
        <v>184</v>
      </c>
      <c r="C46" s="140" t="str">
        <f>"4."&amp;+$D$24&amp;"  4."&amp;+$D$5</f>
        <v>4.Gruppe H  4.Gruppe G</v>
      </c>
      <c r="D46" s="141" t="str">
        <f ca="1">"  "&amp;IF(Y32="","",IF(ISERROR(VLOOKUP($A$4&amp;TEXT($A46,"000"),Sonntag!$B$23:$S$161,8,FALSE)),"",VLOOKUP($A$4&amp;TEXT($A46,"000"),Sonntag!$B$23:$S$161,8,FALSE)))&amp;" : "&amp;IF(Y32="","",IF(ISERROR(VLOOKUP($A$4&amp;TEXT($A46,"000"),Sonntag!$B$23:$S$161,11,FALSE)),"",VLOOKUP($A$4&amp;TEXT($A46,"000"),Sonntag!$B$23:$S$161,11,FALSE)))</f>
        <v xml:space="preserve">  Niedersachsen : Rheinland</v>
      </c>
      <c r="E46" s="142"/>
      <c r="F46" s="142"/>
      <c r="G46" s="142"/>
      <c r="H46" s="142"/>
      <c r="I46" s="143"/>
      <c r="J46" s="144"/>
      <c r="K46" s="145">
        <f>IF(N46="","",IF(ISERROR(VLOOKUP($A$4&amp;TEXT($A$42,"000"),Sonntag!$B$23:$S$93,16,FALSE)),"",VLOOKUP($A$4&amp;TEXT($A46,"000"),Sonntag!$B$23:$S$93,16,FALSE)))</f>
        <v>44</v>
      </c>
      <c r="L46" s="48" t="s">
        <v>15</v>
      </c>
      <c r="M46" s="146">
        <f>IF(N46="","",IF(ISERROR(VLOOKUP($A$4&amp;TEXT($A$42,"000"),Sonntag!$B$23:$S$93,18,FALSE)),"",VLOOKUP($A$4&amp;TEXT($A46,"000"),Sonntag!$B$23:$S$93,18,FALSE)))</f>
        <v>17</v>
      </c>
      <c r="N46" s="147" t="s">
        <v>17</v>
      </c>
      <c r="O46" s="72"/>
      <c r="AC46" s="148"/>
    </row>
    <row r="47" spans="1:46" ht="18" customHeight="1">
      <c r="A47" s="39"/>
      <c r="B47" s="99"/>
      <c r="C47" s="175" t="s">
        <v>20</v>
      </c>
      <c r="D47" s="153"/>
      <c r="E47" s="150"/>
      <c r="F47" s="151"/>
      <c r="G47" s="150"/>
      <c r="H47" s="150"/>
      <c r="I47" s="150"/>
      <c r="J47" s="150"/>
      <c r="K47" s="186"/>
      <c r="M47" s="46"/>
      <c r="N47" s="152"/>
      <c r="Q47" s="41"/>
      <c r="R47" s="41"/>
      <c r="S47" s="41"/>
      <c r="T47" s="41"/>
      <c r="U47" s="41"/>
      <c r="V47" s="41"/>
      <c r="W47" s="41"/>
    </row>
    <row r="48" spans="1:46" ht="17.25" customHeight="1">
      <c r="A48" s="39" t="s">
        <v>43</v>
      </c>
      <c r="B48" s="34" t="s">
        <v>21</v>
      </c>
      <c r="C48" s="140" t="str">
        <f>"2."&amp;+$D$5&amp;"  3."&amp;+$D$24</f>
        <v>2.Gruppe G  3.Gruppe H</v>
      </c>
      <c r="D48" s="141" t="str">
        <f ca="1">"  "&amp;IF(Y31="","",IF(ISERROR(VLOOKUP($A$4&amp;TEXT($A48,"000"),Sonntag!$B$23:$S$161,8,FALSE)),"",VLOOKUP($A$4&amp;TEXT($A48,"000"),Sonntag!$B$23:$S$161,8,FALSE)))&amp;" : "&amp;IF(Y31="","",IF(ISERROR(VLOOKUP($A$4&amp;TEXT($A48,"000"),Sonntag!$B$23:$S$161,11,FALSE)),"",VLOOKUP($A$4&amp;TEXT($A48,"000"),Sonntag!$B$23:$S$161,11,FALSE)))</f>
        <v xml:space="preserve">  Baden : Sachsen</v>
      </c>
      <c r="E48" s="142"/>
      <c r="F48" s="142"/>
      <c r="G48" s="142"/>
      <c r="H48" s="142"/>
      <c r="I48" s="143"/>
      <c r="J48" s="144"/>
      <c r="K48" s="145">
        <f>IF(N48="","",IF(ISERROR(VLOOKUP($A$4&amp;TEXT($A$42,"000"),Sonntag!$B$23:$S$93,16,FALSE)),"",VLOOKUP($A$4&amp;TEXT($A48,"000"),Sonntag!$B$23:$S$93,16,FALSE)))</f>
        <v>40</v>
      </c>
      <c r="L48" s="48" t="s">
        <v>15</v>
      </c>
      <c r="M48" s="146">
        <f>IF(N48="","",IF(ISERROR(VLOOKUP($A$4&amp;TEXT($A$42,"000"),Sonntag!$B$23:$S$93,18,FALSE)),"",VLOOKUP($A$4&amp;TEXT($A48,"000"),Sonntag!$B$23:$S$93,18,FALSE)))</f>
        <v>29</v>
      </c>
      <c r="N48" s="152" t="s">
        <v>17</v>
      </c>
      <c r="P48" s="67" t="s">
        <v>19</v>
      </c>
      <c r="Q48" s="154"/>
      <c r="R48" s="154"/>
      <c r="S48" s="154"/>
      <c r="T48" s="154"/>
      <c r="U48" s="154"/>
      <c r="V48" s="154"/>
      <c r="W48" s="154"/>
      <c r="AC48" s="148">
        <f>IF(K48="","",IF(K48&gt;M48,2,IF(K48&lt;M48,0,1)))</f>
        <v>2</v>
      </c>
    </row>
    <row r="49" spans="1:29" ht="4.7" customHeight="1">
      <c r="A49" s="39"/>
      <c r="B49" s="99"/>
      <c r="C49" s="51"/>
      <c r="D49" s="153"/>
      <c r="E49" s="150"/>
      <c r="F49" s="150"/>
      <c r="G49" s="150"/>
      <c r="H49" s="150"/>
      <c r="I49" s="151"/>
      <c r="J49" s="150"/>
      <c r="K49" s="162"/>
      <c r="L49" s="163"/>
      <c r="M49" s="164"/>
      <c r="N49" s="152"/>
      <c r="Q49" s="41"/>
      <c r="R49" s="41"/>
      <c r="S49" s="41"/>
      <c r="T49" s="41"/>
      <c r="U49" s="41"/>
      <c r="V49" s="41"/>
      <c r="W49" s="41"/>
    </row>
    <row r="50" spans="1:29" ht="17.25" customHeight="1">
      <c r="A50" s="39" t="s">
        <v>44</v>
      </c>
      <c r="B50" s="34" t="s">
        <v>22</v>
      </c>
      <c r="C50" s="140" t="str">
        <f>"2."&amp;+$D$24&amp;"  3."&amp;+$D$5</f>
        <v>2.Gruppe H  3.Gruppe G</v>
      </c>
      <c r="D50" s="141" t="str">
        <f ca="1">"  "&amp;IF(Y31="","",IF(ISERROR(VLOOKUP($A$4&amp;TEXT($A50,"000"),Sonntag!$B$23:$S$161,8,FALSE)),"",VLOOKUP($A$4&amp;TEXT($A50,"000"),Sonntag!$B$23:$S$161,8,FALSE)))&amp;" : "&amp;IF(Y31="","",IF(ISERROR(VLOOKUP($A$4&amp;TEXT($A50,"000"),Sonntag!$B$23:$S$161,11,FALSE)),"",VLOOKUP($A$4&amp;TEXT($A50,"000"),Sonntag!$B$23:$S$161,11,FALSE)))</f>
        <v xml:space="preserve">  Bremen : Pfalz</v>
      </c>
      <c r="E50" s="142"/>
      <c r="F50" s="142"/>
      <c r="G50" s="142"/>
      <c r="H50" s="142"/>
      <c r="I50" s="143"/>
      <c r="J50" s="144"/>
      <c r="K50" s="145">
        <f>IF(N50="","",IF(ISERROR(VLOOKUP($A$4&amp;TEXT($A$42,"000"),Sonntag!$B$23:$S$93,16,FALSE)),"",VLOOKUP($A$4&amp;TEXT($A50,"000"),Sonntag!$B$23:$S$93,16,FALSE)))</f>
        <v>30</v>
      </c>
      <c r="L50" s="48" t="s">
        <v>15</v>
      </c>
      <c r="M50" s="146">
        <f>IF(N50="","",IF(ISERROR(VLOOKUP($A$4&amp;TEXT($A$42,"000"),Sonntag!$B$23:$S$93,18,FALSE)),"",VLOOKUP($A$4&amp;TEXT($A50,"000"),Sonntag!$B$23:$S$93,18,FALSE)))</f>
        <v>37</v>
      </c>
      <c r="N50" s="152" t="s">
        <v>17</v>
      </c>
      <c r="P50" s="178">
        <v>1</v>
      </c>
      <c r="Q50" s="305" t="str">
        <f ca="1">"  "&amp;IF(K63&gt;M63,IF($Y50="","",IF(ISERROR(VLOOKUP($A$4&amp;TEXT($A63,"000"),Sonntag!$B$23:$T$139,8,FALSE)),"",VLOOKUP($A$4&amp;TEXT($A63,"000"),Sonntag!$B$23:$T$139,8,FALSE))),IF($Y50="","",IF(ISERROR(VLOOKUP($A$4&amp;TEXT($A63,"000"),Sonntag!$B$23:$T$139,11,FALSE)),"",VLOOKUP($A$4&amp;TEXT($A63,"000"),Sonntag!$B$23:$T$139,11,FALSE))))</f>
        <v xml:space="preserve">  Westfalen</v>
      </c>
      <c r="R50" s="155"/>
      <c r="S50" s="155"/>
      <c r="T50" s="155"/>
      <c r="U50" s="155"/>
      <c r="V50" s="155"/>
      <c r="W50" s="156"/>
      <c r="Y50" s="34" t="s">
        <v>17</v>
      </c>
      <c r="AC50" s="148">
        <f>IF(K50="","",IF(K50&gt;M50,2,IF(K50&lt;M50,0,1)))</f>
        <v>0</v>
      </c>
    </row>
    <row r="51" spans="1:29" ht="18" customHeight="1">
      <c r="B51" s="99"/>
      <c r="C51" s="175" t="s">
        <v>210</v>
      </c>
      <c r="D51" s="153"/>
      <c r="E51" s="150"/>
      <c r="F51" s="150"/>
      <c r="G51" s="150"/>
      <c r="H51" s="150"/>
      <c r="I51" s="151"/>
      <c r="J51" s="150"/>
      <c r="K51" s="186"/>
      <c r="M51" s="46"/>
      <c r="N51" s="152"/>
      <c r="P51" s="157">
        <v>2</v>
      </c>
      <c r="Q51" s="53" t="str">
        <f ca="1">"  "&amp;IF(K63&lt;M63,IF($Y51="","",IF(ISERROR(VLOOKUP($A$4&amp;TEXT($A63,"000"),Sonntag!$B$23:$T$139,8,FALSE)),"",VLOOKUP($A$4&amp;TEXT($A63,"000"),Sonntag!$B$23:$T$139,8,FALSE))),IF($Y51="","",IF(ISERROR(VLOOKUP($A$4&amp;TEXT($A63,"000"),Sonntag!$B$23:$T$139,11,FALSE)),"",VLOOKUP($A$4&amp;TEXT($A63,"000"),Sonntag!$B$23:$T$139,11,FALSE))))</f>
        <v xml:space="preserve">  Schwaben</v>
      </c>
      <c r="R51" s="53"/>
      <c r="S51" s="53"/>
      <c r="T51" s="53"/>
      <c r="U51" s="53"/>
      <c r="V51" s="53"/>
      <c r="W51" s="158"/>
      <c r="Y51" s="34" t="s">
        <v>17</v>
      </c>
      <c r="AC51" s="159"/>
    </row>
    <row r="52" spans="1:29" ht="17.25" customHeight="1">
      <c r="A52" s="39" t="s">
        <v>299</v>
      </c>
      <c r="C52" s="200" t="str">
        <f>"Ver."&amp;+$B$42&amp;"  Ver."&amp;+$B$44&amp;" Pl. 7-8"</f>
        <v>Ver.a  Ver.b Pl. 7-8</v>
      </c>
      <c r="D52" s="180" t="str">
        <f>"  "&amp;IF(N52="","",IF(ISERROR(VLOOKUP($A$4&amp;TEXT($A52,"000"),Sonntag!$B$23:$S$161,8,FALSE)),"",VLOOKUP($A$4&amp;TEXT($A52,"000"),Sonntag!$B$23:$S$161,8,FALSE)))&amp;" : "&amp;IF(N52="","",IF(ISERROR(VLOOKUP($A$4&amp;TEXT($A52,"000"),Sonntag!$B$23:$S$161,11,FALSE)),"",VLOOKUP($A$4&amp;TEXT($A52,"000"),Sonntag!$B$23:$S$161,11,FALSE)))</f>
        <v xml:space="preserve">   : </v>
      </c>
      <c r="E52" s="160"/>
      <c r="F52" s="142"/>
      <c r="G52" s="142"/>
      <c r="H52" s="142"/>
      <c r="I52" s="142"/>
      <c r="J52" s="144"/>
      <c r="K52" s="145" t="str">
        <f>IF(N52="","",IF(ISERROR(VLOOKUP($A$4&amp;TEXT($A$42,"000"),Sonntag!$B$23:$S$93,16,FALSE)),"",VLOOKUP($A$4&amp;TEXT($A52,"000"),Sonntag!$B$23:$S$93,16,FALSE)))</f>
        <v/>
      </c>
      <c r="L52" s="48" t="s">
        <v>15</v>
      </c>
      <c r="M52" s="146" t="str">
        <f>IF(N52="","",IF(ISERROR(VLOOKUP($A$4&amp;TEXT($A$42,"000"),Sonntag!$B$23:$S$93,18,FALSE)),"",VLOOKUP($A$4&amp;TEXT($A52,"000"),Sonntag!$B$23:$S$93,18,FALSE)))</f>
        <v/>
      </c>
      <c r="N52" s="152"/>
      <c r="P52" s="157">
        <v>3</v>
      </c>
      <c r="Q52" s="53" t="str">
        <f ca="1">"  "&amp;IF(K60&gt;M60,IF($Y52="","",IF(ISERROR(VLOOKUP($A$4&amp;TEXT($A60,"000"),Sonntag!$B$23:$T$139,8,FALSE)),"",VLOOKUP($A$4&amp;TEXT($A60,"000"),Sonntag!$B$23:$T$139,8,FALSE))),IF($Y52="","",IF(ISERROR(VLOOKUP($A$4&amp;TEXT($A60,"000"),Sonntag!$B$23:$T$139,11,FALSE)),"",VLOOKUP($A$4&amp;TEXT($A60,"000"),Sonntag!$B$23:$T$139,11,FALSE))))</f>
        <v xml:space="preserve">  Pfalz</v>
      </c>
      <c r="R52" s="53"/>
      <c r="S52" s="53"/>
      <c r="T52" s="53"/>
      <c r="U52" s="53"/>
      <c r="V52" s="53"/>
      <c r="W52" s="158"/>
      <c r="Y52" s="34" t="s">
        <v>17</v>
      </c>
      <c r="AC52" s="148"/>
    </row>
    <row r="53" spans="1:29" ht="4.7" customHeight="1">
      <c r="C53" s="159"/>
      <c r="D53" s="153"/>
      <c r="E53" s="153"/>
      <c r="F53" s="151"/>
      <c r="G53" s="150"/>
      <c r="H53" s="150"/>
      <c r="I53" s="150"/>
      <c r="J53" s="150"/>
      <c r="K53" s="162"/>
      <c r="L53" s="163"/>
      <c r="M53" s="164"/>
      <c r="N53" s="152"/>
      <c r="P53" s="157"/>
      <c r="Q53" s="161"/>
      <c r="R53" s="53"/>
      <c r="S53" s="53"/>
      <c r="T53" s="53"/>
      <c r="U53" s="53"/>
      <c r="V53" s="53"/>
      <c r="W53" s="158"/>
      <c r="X53" s="159"/>
      <c r="AC53" s="148"/>
    </row>
    <row r="54" spans="1:29" ht="17.25" customHeight="1">
      <c r="A54" s="39" t="s">
        <v>240</v>
      </c>
      <c r="C54" s="140" t="str">
        <f>"Ver."&amp;+$B$48&amp;"  Ver."&amp;+$B$50&amp;" Pl. 5-6"</f>
        <v>Ver.c  Ver.d Pl. 5-6</v>
      </c>
      <c r="D54" s="141" t="str">
        <f ca="1">"  "&amp;IF(N48="","",IF(ISERROR(VLOOKUP($A$4&amp;TEXT($A54,"000"),Sonntag!$B$23:$S$161,8,FALSE)),"",VLOOKUP($A$4&amp;TEXT($A54,"000"),Sonntag!$B$23:$S$161,8,FALSE)))&amp;" : "&amp;IF(N50="","",IF(ISERROR(VLOOKUP($A$4&amp;TEXT($A54,"000"),Sonntag!$B$23:$S$161,11,FALSE)),"",VLOOKUP($A$4&amp;TEXT($A54,"000"),Sonntag!$B$23:$S$161,11,FALSE)))</f>
        <v xml:space="preserve">  Sachsen : Bremen</v>
      </c>
      <c r="E54" s="160"/>
      <c r="F54" s="142"/>
      <c r="G54" s="142"/>
      <c r="H54" s="142"/>
      <c r="I54" s="143"/>
      <c r="J54" s="144"/>
      <c r="K54" s="145">
        <f>IF(N54="","",IF(ISERROR(VLOOKUP($A$4&amp;TEXT($A$42,"000"),Sonntag!$B$23:$S$93,16,FALSE)),"",VLOOKUP($A$4&amp;TEXT($A54,"000"),Sonntag!$B$23:$S$93,16,FALSE)))</f>
        <v>30</v>
      </c>
      <c r="L54" s="48" t="s">
        <v>15</v>
      </c>
      <c r="M54" s="146">
        <f>IF(N54="","",IF(ISERROR(VLOOKUP($A$4&amp;TEXT($A$42,"000"),Sonntag!$B$23:$S$93,18,FALSE)),"",VLOOKUP($A$4&amp;TEXT($A54,"000"),Sonntag!$B$23:$S$93,18,FALSE)))</f>
        <v>37</v>
      </c>
      <c r="N54" s="152" t="s">
        <v>17</v>
      </c>
      <c r="P54" s="157">
        <v>4</v>
      </c>
      <c r="Q54" s="53" t="str">
        <f ca="1">"  "&amp;IF(K60&lt;M60,IF($Y54="","",IF(ISERROR(VLOOKUP($A$4&amp;TEXT($A60,"000"),Sonntag!$B$23:$T$139,8,FALSE)),"",VLOOKUP($A$4&amp;TEXT($A60,"000"),Sonntag!$B$23:$T$139,8,FALSE))),IF($Y54="","",IF(ISERROR(VLOOKUP($A$4&amp;TEXT($A60,"000"),Sonntag!$B$23:$T$139,11,FALSE)),"",VLOOKUP($A$4&amp;TEXT($A60,"000"),Sonntag!$B$23:$T$139,11,FALSE))))</f>
        <v xml:space="preserve">  Baden</v>
      </c>
      <c r="R54" s="53"/>
      <c r="S54" s="53"/>
      <c r="T54" s="53"/>
      <c r="U54" s="53"/>
      <c r="V54" s="53"/>
      <c r="W54" s="158"/>
      <c r="X54" s="159"/>
      <c r="Y54" s="34" t="s">
        <v>17</v>
      </c>
      <c r="AC54" s="148"/>
    </row>
    <row r="55" spans="1:29" ht="18" customHeight="1">
      <c r="C55" s="175" t="s">
        <v>23</v>
      </c>
      <c r="D55" s="161"/>
      <c r="E55" s="159"/>
      <c r="F55" s="159"/>
      <c r="G55" s="159"/>
      <c r="H55" s="159"/>
      <c r="I55" s="159"/>
      <c r="J55" s="159"/>
      <c r="K55" s="162"/>
      <c r="L55" s="163"/>
      <c r="M55" s="164"/>
      <c r="N55" s="152"/>
      <c r="P55" s="157">
        <v>5</v>
      </c>
      <c r="Q55" s="53" t="str">
        <f ca="1">"  "&amp;IF(K54&gt;M54,IF($Y55="","",IF(ISERROR(VLOOKUP($A$4&amp;TEXT($A54,"000"),Sonntag!$B$23:$T$139,8,FALSE)),"",VLOOKUP($A$4&amp;TEXT($A54,"000"),Sonntag!$B$23:$T$139,8,FALSE))),IF($Y55="","",IF(ISERROR(VLOOKUP($A$4&amp;TEXT($A54,"000"),Sonntag!$B$23:$T$139,11,FALSE)),"",VLOOKUP($A$4&amp;TEXT($A54,"000"),Sonntag!$B$23:$T$139,11,FALSE))))</f>
        <v xml:space="preserve">  Bremen</v>
      </c>
      <c r="R55" s="53"/>
      <c r="S55" s="53"/>
      <c r="T55" s="53"/>
      <c r="U55" s="53"/>
      <c r="V55" s="53"/>
      <c r="W55" s="158"/>
      <c r="Y55" s="34" t="s">
        <v>17</v>
      </c>
      <c r="AC55" s="148"/>
    </row>
    <row r="56" spans="1:29" ht="17.25" customHeight="1">
      <c r="A56" s="39" t="s">
        <v>143</v>
      </c>
      <c r="B56" s="34" t="s">
        <v>24</v>
      </c>
      <c r="C56" s="140" t="str">
        <f>"1."&amp;+$D$5&amp;"  Sieger "&amp;B50</f>
        <v>1.Gruppe G  Sieger d</v>
      </c>
      <c r="D56" s="141" t="str">
        <f ca="1">"  "&amp;IF(Y31="","",IF(ISERROR(VLOOKUP($A$4&amp;TEXT($A56,"000"),Sonntag!$B$23:$S$161,8,FALSE)),"",VLOOKUP($A$4&amp;TEXT($A56,"000"),Sonntag!$B$23:$S$161,8,FALSE)))&amp;" : "&amp;IF(N50="","",IF(ISERROR(VLOOKUP($A$4&amp;TEXT($A56,"000"),Sonntag!$B$23:$S$161,11,FALSE)),"",VLOOKUP($A$4&amp;TEXT($A56,"000"),Sonntag!$B$23:$S$161,11,FALSE)))</f>
        <v xml:space="preserve">  Westfalen : Pfalz</v>
      </c>
      <c r="E56" s="155"/>
      <c r="F56" s="165"/>
      <c r="G56" s="165"/>
      <c r="H56" s="165"/>
      <c r="I56" s="166"/>
      <c r="J56" s="83"/>
      <c r="K56" s="145">
        <f>IF(N56="","",IF(ISERROR(VLOOKUP($A$4&amp;TEXT($A$42,"000"),Sonntag!$B$23:$S$93,16,FALSE)),"",VLOOKUP($A$4&amp;TEXT($A56,"000"),Sonntag!$B$23:$S$93,16,FALSE)))</f>
        <v>39</v>
      </c>
      <c r="L56" s="48" t="s">
        <v>15</v>
      </c>
      <c r="M56" s="146">
        <f>IF(N56="","",IF(ISERROR(VLOOKUP($A$4&amp;TEXT($A$42,"000"),Sonntag!$B$23:$S$93,18,FALSE)),"",VLOOKUP($A$4&amp;TEXT($A56,"000"),Sonntag!$B$23:$S$93,18,FALSE)))</f>
        <v>24</v>
      </c>
      <c r="N56" s="152" t="s">
        <v>17</v>
      </c>
      <c r="P56" s="157">
        <v>6</v>
      </c>
      <c r="Q56" s="53" t="str">
        <f ca="1">"  "&amp;IF(K54&lt;M54,IF($Y56="","",IF(ISERROR(VLOOKUP($A$4&amp;TEXT($A54,"000"),Sonntag!$B$23:$T$139,8,FALSE)),"",VLOOKUP($A$4&amp;TEXT($A54,"000"),Sonntag!$B$23:$T$139,8,FALSE))),IF($Y56="","",IF(ISERROR(VLOOKUP($A$4&amp;TEXT($A54,"000"),Sonntag!$B$23:$T$139,11,FALSE)),"",VLOOKUP($A$4&amp;TEXT($A54,"000"),Sonntag!$B$23:$T$139,11,FALSE))))</f>
        <v xml:space="preserve">  Sachsen</v>
      </c>
      <c r="R56" s="53"/>
      <c r="S56" s="53"/>
      <c r="T56" s="53"/>
      <c r="U56" s="53"/>
      <c r="V56" s="53"/>
      <c r="W56" s="158"/>
      <c r="Y56" s="34" t="s">
        <v>17</v>
      </c>
      <c r="AC56" s="148"/>
    </row>
    <row r="57" spans="1:29" ht="4.7" customHeight="1">
      <c r="A57" s="39"/>
      <c r="C57" s="167"/>
      <c r="D57" s="161"/>
      <c r="E57" s="161"/>
      <c r="F57" s="167"/>
      <c r="G57" s="159"/>
      <c r="H57" s="159"/>
      <c r="I57" s="159"/>
      <c r="J57" s="159"/>
      <c r="K57" s="162"/>
      <c r="L57" s="163"/>
      <c r="M57" s="164"/>
      <c r="N57" s="152"/>
      <c r="P57" s="157"/>
      <c r="Q57" s="53"/>
      <c r="R57" s="53"/>
      <c r="S57" s="53"/>
      <c r="T57" s="53"/>
      <c r="U57" s="53"/>
      <c r="V57" s="53"/>
      <c r="W57" s="158"/>
      <c r="X57" s="34" t="s">
        <v>17</v>
      </c>
      <c r="AC57" s="148"/>
    </row>
    <row r="58" spans="1:29" ht="17.25" customHeight="1">
      <c r="A58" s="39" t="s">
        <v>144</v>
      </c>
      <c r="B58" s="34" t="s">
        <v>25</v>
      </c>
      <c r="C58" s="140" t="str">
        <f>"1."&amp;+$D24&amp;"  Sieger "&amp;B48</f>
        <v>1.Gruppe H  Sieger c</v>
      </c>
      <c r="D58" s="141" t="str">
        <f ca="1">"  "&amp;IF(Y31="","",IF(ISERROR(VLOOKUP($A$4&amp;TEXT($A58,"000"),Sonntag!$B$23:$S$161,8,FALSE)),"",VLOOKUP($A$4&amp;TEXT($A58,"000"),Sonntag!$B$23:$S$161,8,FALSE)))&amp;" : "&amp;IF(N48="","",IF(ISERROR(VLOOKUP($A$4&amp;TEXT($A58,"000"),Sonntag!$B$23:$S$161,11,FALSE)),"",VLOOKUP($A$4&amp;TEXT($A58,"000"),Sonntag!$B$23:$S$161,11,FALSE)))</f>
        <v xml:space="preserve">  Schwaben : Baden</v>
      </c>
      <c r="E58" s="155"/>
      <c r="F58" s="165"/>
      <c r="G58" s="165"/>
      <c r="H58" s="165"/>
      <c r="I58" s="165"/>
      <c r="J58" s="83"/>
      <c r="K58" s="145">
        <f>IF(N58="","",IF(ISERROR(VLOOKUP($A$4&amp;TEXT($A$42,"000"),Sonntag!$B$23:$S$93,16,FALSE)),"",VLOOKUP($A$4&amp;TEXT($A58,"000"),Sonntag!$B$23:$S$93,16,FALSE)))</f>
        <v>38</v>
      </c>
      <c r="L58" s="48" t="s">
        <v>15</v>
      </c>
      <c r="M58" s="146">
        <f>IF(N58="","",IF(ISERROR(VLOOKUP($A$4&amp;TEXT($A$42,"000"),Sonntag!$B$23:$S$93,18,FALSE)),"",VLOOKUP($A$4&amp;TEXT($A58,"000"),Sonntag!$B$23:$S$93,18,FALSE)))</f>
        <v>29</v>
      </c>
      <c r="N58" s="152" t="s">
        <v>17</v>
      </c>
      <c r="P58" s="157">
        <v>7</v>
      </c>
      <c r="Q58" s="306" t="str">
        <f>IF(Y58="","","  "&amp;IF($AR$29=1,$AE$29,IF($AR$31=1,$AE$31,IF($AR$33=1,$AE$33,0))))</f>
        <v xml:space="preserve">  Niedersachsen</v>
      </c>
      <c r="R58" s="53"/>
      <c r="S58" s="53"/>
      <c r="T58" s="53"/>
      <c r="U58" s="53"/>
      <c r="V58" s="53"/>
      <c r="W58" s="158"/>
      <c r="Y58" s="34" t="s">
        <v>17</v>
      </c>
      <c r="AC58" s="148"/>
    </row>
    <row r="59" spans="1:29" ht="18" customHeight="1">
      <c r="A59" s="39"/>
      <c r="C59" s="176" t="s">
        <v>211</v>
      </c>
      <c r="D59" s="161"/>
      <c r="E59" s="161"/>
      <c r="F59" s="167"/>
      <c r="G59" s="159"/>
      <c r="H59" s="159"/>
      <c r="I59" s="159"/>
      <c r="J59" s="159"/>
      <c r="K59" s="162"/>
      <c r="L59" s="163"/>
      <c r="M59" s="164"/>
      <c r="N59" s="152"/>
      <c r="P59" s="157">
        <v>8</v>
      </c>
      <c r="Q59" s="306" t="str">
        <f>IF(Y59="","","  "&amp;IF($AR$29=2,$AE$29,IF($AR$31=2,$AE$31,IF($AR$33=2,$AE$33,0))))</f>
        <v xml:space="preserve">  Berlin</v>
      </c>
      <c r="R59" s="53"/>
      <c r="S59" s="53"/>
      <c r="T59" s="53"/>
      <c r="U59" s="53"/>
      <c r="V59" s="53"/>
      <c r="W59" s="158"/>
      <c r="Y59" s="34" t="s">
        <v>17</v>
      </c>
      <c r="AC59" s="148"/>
    </row>
    <row r="60" spans="1:29" ht="17.25" customHeight="1">
      <c r="A60" s="39" t="s">
        <v>241</v>
      </c>
      <c r="C60" s="168" t="str">
        <f>"Ver."&amp;B56&amp;"/"&amp;B58&amp;"         Pl.3-4"</f>
        <v>Ver.e/f         Pl.3-4</v>
      </c>
      <c r="D60" s="141" t="str">
        <f ca="1">"  "&amp;IF(N56="","",IF(ISERROR(VLOOKUP($A$4&amp;TEXT($A60,"000"),Sonntag!$B$23:$S$161,8,FALSE)),"",VLOOKUP($A$4&amp;TEXT($A60,"000"),Sonntag!$B$23:$S$161,8,FALSE)))&amp;" : "&amp;IF(N58="","",IF(ISERROR(VLOOKUP($A$4&amp;TEXT($A60,"000"),Sonntag!$B$23:$S$161,11,FALSE)),"",VLOOKUP($A$4&amp;TEXT($A60,"000"),Sonntag!$B$23:$S$161,11,FALSE)))</f>
        <v xml:space="preserve">  Pfalz : Baden</v>
      </c>
      <c r="E60" s="155"/>
      <c r="F60" s="165"/>
      <c r="G60" s="165"/>
      <c r="H60" s="165"/>
      <c r="I60" s="165"/>
      <c r="J60" s="83"/>
      <c r="K60" s="145">
        <f>IF(N60="","",IF(ISERROR(VLOOKUP($A$4&amp;TEXT($A$42,"000"),Sonntag!$B$23:$S$93,16,FALSE)),"",VLOOKUP($A$4&amp;TEXT($A60,"000"),Sonntag!$B$23:$S$93,16,FALSE)))</f>
        <v>34</v>
      </c>
      <c r="L60" s="48" t="s">
        <v>15</v>
      </c>
      <c r="M60" s="146">
        <f>IF(N60="","",IF(ISERROR(VLOOKUP($A$4&amp;TEXT($A$42,"000"),Sonntag!$B$23:$S$93,18,FALSE)),"",VLOOKUP($A$4&amp;TEXT($A60,"000"),Sonntag!$B$23:$S$93,18,FALSE)))</f>
        <v>33</v>
      </c>
      <c r="N60" s="152" t="s">
        <v>17</v>
      </c>
      <c r="P60" s="157">
        <v>9</v>
      </c>
      <c r="Q60" s="306" t="str">
        <f>IF(Y60="","","  "&amp;IF($AR$29=3,$AE$29,IF($AR$31=3,$AE$31,IF($AR$33=3,$AE$33,0))))</f>
        <v xml:space="preserve">  Rheinland</v>
      </c>
      <c r="R60" s="53"/>
      <c r="S60" s="53"/>
      <c r="T60" s="53"/>
      <c r="U60" s="53"/>
      <c r="V60" s="53"/>
      <c r="W60" s="158"/>
      <c r="Y60" s="34" t="s">
        <v>17</v>
      </c>
      <c r="AC60" s="148"/>
    </row>
    <row r="61" spans="1:29" ht="4.7" customHeight="1">
      <c r="A61" s="39"/>
      <c r="C61" s="159"/>
      <c r="D61" s="161"/>
      <c r="E61" s="161"/>
      <c r="F61" s="159"/>
      <c r="G61" s="159"/>
      <c r="H61" s="159"/>
      <c r="I61" s="167"/>
      <c r="J61" s="159"/>
      <c r="K61" s="162"/>
      <c r="L61" s="163"/>
      <c r="M61" s="164"/>
      <c r="N61" s="152"/>
      <c r="P61" s="169"/>
      <c r="Q61" s="161"/>
      <c r="R61" s="53"/>
      <c r="S61" s="53"/>
      <c r="T61" s="53"/>
      <c r="U61" s="53"/>
      <c r="V61" s="53"/>
      <c r="W61" s="158"/>
      <c r="AC61" s="148"/>
    </row>
    <row r="62" spans="1:29" ht="17.25" customHeight="1">
      <c r="A62" s="39"/>
      <c r="C62" s="177" t="s">
        <v>26</v>
      </c>
      <c r="D62" s="53"/>
      <c r="E62" s="161"/>
      <c r="F62" s="159"/>
      <c r="G62" s="159"/>
      <c r="H62" s="41"/>
      <c r="I62" s="170"/>
      <c r="J62" s="41"/>
      <c r="K62" s="162"/>
      <c r="L62" s="163"/>
      <c r="M62" s="164"/>
      <c r="N62" s="152"/>
      <c r="P62" s="171">
        <v>10</v>
      </c>
      <c r="Q62" s="188"/>
      <c r="R62" s="55"/>
      <c r="S62" s="55"/>
      <c r="T62" s="55"/>
      <c r="U62" s="55"/>
      <c r="V62" s="55"/>
      <c r="W62" s="172"/>
      <c r="AC62" s="148"/>
    </row>
    <row r="63" spans="1:29" ht="18" customHeight="1">
      <c r="A63" s="39" t="s">
        <v>242</v>
      </c>
      <c r="C63" s="168" t="str">
        <f>"S."&amp;B56&amp;"/"&amp;B58&amp;"         1./2. Pl."</f>
        <v>S.e/f         1./2. Pl.</v>
      </c>
      <c r="D63" s="141" t="str">
        <f ca="1">"  "&amp;IF(N56="","",IF(ISERROR(VLOOKUP($A$4&amp;TEXT($A63,"000"),Sonntag!$B$23:$S$161,8,FALSE)),"",VLOOKUP($A$4&amp;TEXT($A63,"000"),Sonntag!$B$23:$S$161,8,FALSE)))&amp;" : "&amp;IF(N58="","",IF(ISERROR(VLOOKUP($A$4&amp;TEXT($A63,"000"),Sonntag!$B$23:$S$161,11,FALSE)),"",VLOOKUP($A$4&amp;TEXT($A63,"000"),Sonntag!$B$23:$S$161,11,FALSE)))</f>
        <v xml:space="preserve">  Westfalen : Schwaben</v>
      </c>
      <c r="E63" s="155"/>
      <c r="F63" s="173"/>
      <c r="G63" s="174"/>
      <c r="H63" s="165"/>
      <c r="I63" s="165"/>
      <c r="J63" s="83"/>
      <c r="K63" s="145">
        <f>IF(N63="","",IF(ISERROR(VLOOKUP($A$4&amp;TEXT($A$42,"000"),Sonntag!$B$23:$S$93,16,FALSE)),"",VLOOKUP($A$4&amp;TEXT($A63,"000"),Sonntag!$B$23:$S$93,16,FALSE)))</f>
        <v>34</v>
      </c>
      <c r="L63" s="48" t="s">
        <v>15</v>
      </c>
      <c r="M63" s="146">
        <f>IF(N63="","",IF(ISERROR(VLOOKUP($A$4&amp;TEXT($A$42,"000"),Sonntag!$B$23:$S$93,18,FALSE)),"",VLOOKUP($A$4&amp;TEXT($A63,"000"),Sonntag!$B$23:$S$93,18,FALSE)))</f>
        <v>28</v>
      </c>
      <c r="N63" s="35" t="s">
        <v>17</v>
      </c>
      <c r="AC63" s="148"/>
    </row>
    <row r="64" spans="1:29" ht="17.25" customHeight="1">
      <c r="A64" s="39"/>
      <c r="N64" s="152"/>
      <c r="AC64" s="148"/>
    </row>
    <row r="65" spans="2:14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</row>
  </sheetData>
  <mergeCells count="1">
    <mergeCell ref="Q2:W2"/>
  </mergeCells>
  <conditionalFormatting sqref="H25 G31:H31 J31:K31 M31 E31 G33:H33 J33:K33 E33 G29:H29 J29 E29 P33 M33:N33 G27 E27 H6 G12:H12 J12:K12 M12 E12 G14:H14 J14:K14 E14 G10:H10 J10 E10 P14 M14:N14 J6:K6 M6:N6 P6:Q6 S6 S8 S10 Q12 S12 N10 P10:Q10 P8:Q8 K8 M8:N8 J25:K25 M25:N25 P25:Q25 S25 S27 S29 Q31 S31 N29 P29:Q29 K27 M27:N27 P27:Q27">
    <cfRule type="cellIs" dxfId="5" priority="2" stopIfTrue="1" operator="lessThan">
      <formula>1</formula>
    </cfRule>
  </conditionalFormatting>
  <conditionalFormatting sqref="E8 G8">
    <cfRule type="cellIs" dxfId="4" priority="1" stopIfTrue="1" operator="lessThan">
      <formula>1</formula>
    </cfRule>
  </conditionalFormatting>
  <printOptions horizontalCentered="1" verticalCentered="1"/>
  <pageMargins left="0.35433070866141736" right="0.35433070866141736" top="0.19685039370078741" bottom="0.39370078740157483" header="0.51181102362204722" footer="0.51181102362204722"/>
  <pageSetup paperSize="9" scale="90" orientation="portrait" r:id="rId1"/>
  <headerFooter alignWithMargins="0">
    <oddFooter>&amp;R&amp;6&amp;F; 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6">
    <tabColor rgb="FF00B050"/>
  </sheetPr>
  <dimension ref="A1:AL198"/>
  <sheetViews>
    <sheetView topLeftCell="C53" zoomScaleNormal="100" zoomScaleSheetLayoutView="100" workbookViewId="0">
      <selection activeCell="S184" sqref="S184"/>
    </sheetView>
  </sheetViews>
  <sheetFormatPr baseColWidth="10" defaultRowHeight="12.75" outlineLevelRow="1" outlineLevelCol="1"/>
  <cols>
    <col min="1" max="1" width="3" style="14" hidden="1" customWidth="1" outlineLevel="1"/>
    <col min="2" max="2" width="6.42578125" style="14" hidden="1" customWidth="1" outlineLevel="1"/>
    <col min="3" max="3" width="3.7109375" style="56" customWidth="1" collapsed="1"/>
    <col min="4" max="4" width="4.85546875" style="338" customWidth="1"/>
    <col min="5" max="5" width="3.28515625" style="56" customWidth="1"/>
    <col min="6" max="6" width="4.140625" style="56" customWidth="1"/>
    <col min="7" max="7" width="3.140625" style="56" customWidth="1"/>
    <col min="8" max="8" width="2.7109375" style="56" hidden="1" customWidth="1" outlineLevel="1"/>
    <col min="9" max="9" width="18.7109375" style="56" customWidth="1" collapsed="1"/>
    <col min="10" max="10" width="1.42578125" style="56" customWidth="1"/>
    <col min="11" max="11" width="2.7109375" style="56" hidden="1" customWidth="1" outlineLevel="1"/>
    <col min="12" max="12" width="18.7109375" style="56" customWidth="1" collapsed="1"/>
    <col min="13" max="13" width="3.140625" style="56" customWidth="1"/>
    <col min="14" max="14" width="2.7109375" style="56" hidden="1" customWidth="1" outlineLevel="1"/>
    <col min="15" max="15" width="18.7109375" style="56" customWidth="1" collapsed="1"/>
    <col min="16" max="16" width="4.85546875" style="235" customWidth="1" outlineLevel="1"/>
    <col min="17" max="17" width="2.7109375" style="56" customWidth="1" outlineLevel="1"/>
    <col min="18" max="18" width="1.42578125" style="56" customWidth="1" outlineLevel="1"/>
    <col min="19" max="20" width="2.7109375" style="56" customWidth="1" outlineLevel="1"/>
    <col min="21" max="21" width="1.42578125" style="56" customWidth="1" outlineLevel="1"/>
    <col min="22" max="22" width="2.7109375" style="56" customWidth="1" outlineLevel="1"/>
    <col min="23" max="23" width="1.7109375" style="56" customWidth="1"/>
    <col min="24" max="25" width="8.28515625" style="56" hidden="1" customWidth="1" outlineLevel="1"/>
    <col min="26" max="26" width="3.5703125" style="14" customWidth="1" collapsed="1"/>
    <col min="27" max="27" width="4" style="14" customWidth="1"/>
    <col min="28" max="28" width="11.42578125" style="56"/>
    <col min="29" max="29" width="2.85546875" style="56" customWidth="1"/>
    <col min="30" max="30" width="11.42578125" style="56"/>
    <col min="31" max="31" width="3" style="56" customWidth="1"/>
    <col min="32" max="35" width="4.7109375" style="56" customWidth="1"/>
    <col min="36" max="16384" width="11.42578125" style="56"/>
  </cols>
  <sheetData>
    <row r="1" spans="1:38" ht="18.95" customHeight="1">
      <c r="C1" s="9" t="str">
        <f>Daten!A1&amp;" "&amp;Daten!B1&amp;" "&amp;Daten!L1</f>
        <v>35. Deutschlandpokal der Jugend 2018</v>
      </c>
      <c r="D1" s="330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2"/>
      <c r="Q1" s="331"/>
      <c r="R1" s="331"/>
      <c r="S1" s="331"/>
      <c r="T1" s="331"/>
      <c r="U1" s="331"/>
      <c r="V1" s="331"/>
      <c r="W1" s="331"/>
      <c r="X1" s="331"/>
      <c r="Y1" s="331"/>
    </row>
    <row r="2" spans="1:38" ht="19.5" customHeight="1">
      <c r="C2" s="334" t="str">
        <f>+Daten!A39</f>
        <v>09.06.2018</v>
      </c>
      <c r="D2" s="333"/>
      <c r="I2" s="335" t="str">
        <f>+Daten!O40</f>
        <v>Schul- und Sportzentzum Rothenstein, 58540 Meinerzhagen</v>
      </c>
      <c r="L2" s="234"/>
    </row>
    <row r="3" spans="1:38" hidden="1" outlineLevel="1">
      <c r="C3" s="14" t="s">
        <v>140</v>
      </c>
      <c r="D3" s="337"/>
      <c r="E3" s="14"/>
      <c r="F3" s="14"/>
      <c r="G3" s="14"/>
      <c r="H3" s="14"/>
      <c r="I3" s="14" t="s">
        <v>141</v>
      </c>
      <c r="J3" s="14"/>
      <c r="K3" s="14"/>
      <c r="L3" s="14" t="s">
        <v>139</v>
      </c>
      <c r="M3" s="14"/>
      <c r="N3" s="14"/>
      <c r="O3" s="14" t="s">
        <v>142</v>
      </c>
      <c r="P3" s="236" t="s">
        <v>179</v>
      </c>
      <c r="Q3" s="14"/>
      <c r="R3" s="14"/>
      <c r="S3" s="14"/>
      <c r="T3" s="14"/>
      <c r="U3" s="14"/>
      <c r="V3" s="14"/>
      <c r="W3" s="14"/>
      <c r="X3" s="14" t="s">
        <v>178</v>
      </c>
      <c r="Y3" s="14"/>
      <c r="AB3" s="14"/>
      <c r="AC3" s="14"/>
      <c r="AD3" s="14"/>
      <c r="AE3" s="14"/>
    </row>
    <row r="4" spans="1:38" hidden="1" outlineLevel="1">
      <c r="A4" s="14">
        <v>1</v>
      </c>
      <c r="C4" s="14" t="str">
        <f>IF(Daten!C5="","",Daten!C5)</f>
        <v>Westfalen</v>
      </c>
      <c r="D4" s="337"/>
      <c r="E4" s="14"/>
      <c r="F4" s="14"/>
      <c r="G4" s="14"/>
      <c r="H4" s="14"/>
      <c r="I4" s="14" t="str">
        <f>IF(Daten!C15="","",Daten!C15)</f>
        <v>w 13-15 1e</v>
      </c>
      <c r="J4" s="14"/>
      <c r="K4" s="14"/>
      <c r="L4" s="14" t="str">
        <f>IF(Daten!I5="","",Daten!I5)</f>
        <v>Niedersachsen</v>
      </c>
      <c r="M4" s="14"/>
      <c r="N4" s="14"/>
      <c r="O4" s="14" t="str">
        <f>Daten!I15</f>
        <v>m 13-15 1g</v>
      </c>
      <c r="P4" s="236" t="str">
        <f>IF(Daten!I25="","",Daten!I25)</f>
        <v>Bremen</v>
      </c>
      <c r="Q4" s="14"/>
      <c r="R4" s="14"/>
      <c r="S4" s="14"/>
      <c r="T4" s="14"/>
      <c r="U4" s="14"/>
      <c r="V4" s="14"/>
      <c r="W4" s="14"/>
      <c r="X4" s="14" t="str">
        <f>IF(Daten!C25="","",Daten!C25)</f>
        <v>Berlin</v>
      </c>
      <c r="Y4" s="14"/>
      <c r="AA4" s="237"/>
      <c r="AB4" s="14"/>
      <c r="AC4" s="14"/>
      <c r="AD4" s="14"/>
      <c r="AE4" s="14"/>
      <c r="AH4" s="14"/>
      <c r="AI4" s="14"/>
      <c r="AJ4" s="14"/>
      <c r="AK4" s="14"/>
      <c r="AL4" s="14"/>
    </row>
    <row r="5" spans="1:38" hidden="1" outlineLevel="1">
      <c r="A5" s="14">
        <v>2</v>
      </c>
      <c r="C5" s="14" t="str">
        <f>IF(Daten!C6="","",Daten!C6)</f>
        <v>Baden</v>
      </c>
      <c r="D5" s="337"/>
      <c r="E5" s="14"/>
      <c r="F5" s="14"/>
      <c r="G5" s="14"/>
      <c r="H5" s="14"/>
      <c r="I5" s="14" t="str">
        <f>IF(Daten!C16="","",Daten!C16)</f>
        <v>w 13-15 2e</v>
      </c>
      <c r="J5" s="14"/>
      <c r="K5" s="14"/>
      <c r="L5" s="14" t="str">
        <f>IF(Daten!I6="","",Daten!I6)</f>
        <v>Baden</v>
      </c>
      <c r="M5" s="14"/>
      <c r="N5" s="14"/>
      <c r="O5" s="14" t="str">
        <f>Daten!I16</f>
        <v>m 13-15 2g</v>
      </c>
      <c r="P5" s="236" t="str">
        <f>IF(Daten!I26="","",Daten!I26)</f>
        <v>Baden</v>
      </c>
      <c r="Q5" s="14"/>
      <c r="R5" s="14"/>
      <c r="S5" s="14"/>
      <c r="T5" s="14"/>
      <c r="U5" s="14"/>
      <c r="V5" s="14"/>
      <c r="W5" s="14"/>
      <c r="X5" s="14" t="str">
        <f>IF(Daten!C26="","",Daten!C26)</f>
        <v>Westfalen</v>
      </c>
      <c r="Y5" s="14"/>
      <c r="AA5" s="237"/>
      <c r="AB5" s="14"/>
      <c r="AC5" s="14"/>
      <c r="AD5" s="14"/>
      <c r="AE5" s="14"/>
      <c r="AH5" s="14"/>
      <c r="AI5" s="14"/>
      <c r="AJ5" s="14"/>
      <c r="AK5" s="14"/>
      <c r="AL5" s="14"/>
    </row>
    <row r="6" spans="1:38" hidden="1" outlineLevel="1">
      <c r="A6" s="14">
        <v>3</v>
      </c>
      <c r="C6" s="14" t="str">
        <f>IF(Daten!C7="","",Daten!C7)</f>
        <v>Niedersachsen</v>
      </c>
      <c r="D6" s="337"/>
      <c r="E6" s="14"/>
      <c r="F6" s="14"/>
      <c r="G6" s="14"/>
      <c r="H6" s="14"/>
      <c r="I6" s="14" t="str">
        <f>IF(Daten!C17="","",Daten!C17)</f>
        <v>w 13-15 3e</v>
      </c>
      <c r="J6" s="14"/>
      <c r="K6" s="14"/>
      <c r="L6" s="14" t="str">
        <f>IF(Daten!I7="","",Daten!I7)</f>
        <v>Bremen</v>
      </c>
      <c r="M6" s="14"/>
      <c r="N6" s="14"/>
      <c r="O6" s="14" t="str">
        <f>Daten!I17</f>
        <v>m 13-15 3g</v>
      </c>
      <c r="P6" s="236" t="str">
        <f>IF(Daten!I27="","",Daten!I27)</f>
        <v>Rheinland</v>
      </c>
      <c r="Q6" s="14"/>
      <c r="R6" s="14"/>
      <c r="S6" s="14"/>
      <c r="T6" s="14"/>
      <c r="U6" s="14"/>
      <c r="V6" s="14"/>
      <c r="W6" s="14"/>
      <c r="X6" s="14" t="str">
        <f>IF(Daten!C27="","",Daten!C27)</f>
        <v>Baden</v>
      </c>
      <c r="Y6" s="14"/>
      <c r="AA6" s="237"/>
      <c r="AB6" s="14"/>
      <c r="AC6" s="14"/>
      <c r="AD6" s="14"/>
      <c r="AE6" s="14"/>
      <c r="AH6" s="14"/>
      <c r="AI6" s="14"/>
      <c r="AJ6" s="14"/>
      <c r="AK6" s="14"/>
      <c r="AL6" s="14"/>
    </row>
    <row r="7" spans="1:38" hidden="1" outlineLevel="1">
      <c r="A7" s="14">
        <v>4</v>
      </c>
      <c r="C7" s="14" t="str">
        <f>IF(Daten!C8="","",Daten!C8)</f>
        <v>Pfalz</v>
      </c>
      <c r="D7" s="337"/>
      <c r="E7" s="14"/>
      <c r="F7" s="14"/>
      <c r="G7" s="14"/>
      <c r="H7" s="14"/>
      <c r="I7" s="14" t="str">
        <f>IF(Daten!C18="","",Daten!C18)</f>
        <v>w 13-15 4e</v>
      </c>
      <c r="J7" s="14"/>
      <c r="K7" s="14"/>
      <c r="L7" s="14" t="str">
        <f>IF(Daten!I8="","",Daten!I8)</f>
        <v>Pfalz</v>
      </c>
      <c r="M7" s="14"/>
      <c r="N7" s="14"/>
      <c r="O7" s="14" t="str">
        <f>Daten!I18</f>
        <v>m 13-15 4g</v>
      </c>
      <c r="P7" s="236" t="str">
        <f>IF(Daten!I28="","",Daten!I28)</f>
        <v>Berlin</v>
      </c>
      <c r="Q7" s="14"/>
      <c r="R7" s="14"/>
      <c r="S7" s="14"/>
      <c r="T7" s="14"/>
      <c r="U7" s="14"/>
      <c r="V7" s="14"/>
      <c r="W7" s="14"/>
      <c r="X7" s="14" t="str">
        <f>IF(Daten!C28="","",Daten!C28)</f>
        <v>Niedersachsen</v>
      </c>
      <c r="Y7" s="14"/>
      <c r="AA7" s="237"/>
      <c r="AB7" s="14"/>
      <c r="AC7" s="14"/>
      <c r="AD7" s="14"/>
      <c r="AE7" s="14"/>
      <c r="AH7" s="14"/>
      <c r="AI7" s="14"/>
      <c r="AJ7" s="14"/>
      <c r="AK7" s="14"/>
      <c r="AL7" s="14"/>
    </row>
    <row r="8" spans="1:38" hidden="1" outlineLevel="1">
      <c r="A8" s="14">
        <v>5</v>
      </c>
      <c r="C8" s="14" t="str">
        <f>IF(Daten!C9="","",Daten!C9)</f>
        <v>Rheinland</v>
      </c>
      <c r="D8" s="337"/>
      <c r="E8" s="14"/>
      <c r="F8" s="14"/>
      <c r="G8" s="14"/>
      <c r="H8" s="14"/>
      <c r="I8" s="14" t="str">
        <f>IF(Daten!C19="","",Daten!C19)</f>
        <v/>
      </c>
      <c r="J8" s="14"/>
      <c r="K8" s="14"/>
      <c r="L8" s="14" t="str">
        <f>IF(Daten!I9="","",Daten!I9)</f>
        <v>Westfalen</v>
      </c>
      <c r="M8" s="14"/>
      <c r="N8" s="14"/>
      <c r="O8" s="14">
        <f>Daten!I19</f>
        <v>0</v>
      </c>
      <c r="P8" s="236" t="str">
        <f>IF(Daten!I29="","",Daten!I29)</f>
        <v/>
      </c>
      <c r="Q8" s="14"/>
      <c r="R8" s="14"/>
      <c r="S8" s="14"/>
      <c r="T8" s="14"/>
      <c r="U8" s="14"/>
      <c r="V8" s="14"/>
      <c r="W8" s="14"/>
      <c r="X8" s="14" t="str">
        <f>IF(Daten!C29="","",Daten!C29)</f>
        <v>Pfalz</v>
      </c>
      <c r="Y8" s="14"/>
      <c r="AA8" s="237"/>
      <c r="AB8" s="14"/>
      <c r="AC8" s="14"/>
      <c r="AD8" s="14"/>
      <c r="AE8" s="14"/>
      <c r="AH8" s="14"/>
      <c r="AI8" s="14"/>
      <c r="AJ8" s="14"/>
      <c r="AK8" s="14"/>
      <c r="AL8" s="14"/>
    </row>
    <row r="9" spans="1:38" hidden="1" outlineLevel="1">
      <c r="A9" s="14">
        <v>6</v>
      </c>
      <c r="C9" s="14" t="str">
        <f>IF(Daten!C10="","",Daten!C10)</f>
        <v/>
      </c>
      <c r="D9" s="337"/>
      <c r="E9" s="14"/>
      <c r="F9" s="14"/>
      <c r="G9" s="14"/>
      <c r="H9" s="14"/>
      <c r="I9" s="14"/>
      <c r="J9" s="14"/>
      <c r="K9" s="14"/>
      <c r="L9" s="14" t="str">
        <f>IF(Daten!I10="","",Daten!I10)</f>
        <v/>
      </c>
      <c r="M9" s="14"/>
      <c r="N9" s="14"/>
      <c r="O9" s="14">
        <f>Daten!I20</f>
        <v>0</v>
      </c>
      <c r="P9" s="236" t="str">
        <f>IF(Daten!I30="","",Daten!I30)</f>
        <v/>
      </c>
      <c r="Q9" s="14"/>
      <c r="R9" s="14"/>
      <c r="S9" s="14"/>
      <c r="T9" s="14"/>
      <c r="U9" s="14"/>
      <c r="V9" s="14"/>
      <c r="W9" s="14"/>
      <c r="X9" s="14" t="str">
        <f>IF(Daten!C30="","",Daten!C30)</f>
        <v/>
      </c>
      <c r="Y9" s="14"/>
      <c r="AA9" s="237"/>
      <c r="AB9" s="14"/>
      <c r="AC9" s="14"/>
      <c r="AD9" s="14"/>
      <c r="AE9" s="14"/>
      <c r="AH9" s="14"/>
      <c r="AI9" s="14"/>
      <c r="AJ9" s="14"/>
      <c r="AK9" s="14"/>
      <c r="AL9" s="14"/>
    </row>
    <row r="10" spans="1:38" hidden="1" outlineLevel="1">
      <c r="A10" s="14">
        <v>7</v>
      </c>
      <c r="C10" s="14" t="str">
        <f>IF(Daten!C11="","",Daten!C11)</f>
        <v/>
      </c>
      <c r="D10" s="337"/>
      <c r="E10" s="14"/>
      <c r="F10" s="14"/>
      <c r="G10" s="14"/>
      <c r="H10" s="14"/>
      <c r="I10" s="14"/>
      <c r="J10" s="14"/>
      <c r="K10" s="14"/>
      <c r="L10" s="14" t="str">
        <f>IF(Daten!I11="","",Daten!I11)</f>
        <v/>
      </c>
      <c r="M10" s="14"/>
      <c r="N10" s="14"/>
      <c r="O10" s="14">
        <f>Daten!I21</f>
        <v>0</v>
      </c>
      <c r="P10" s="236" t="str">
        <f>IF(Daten!I31="","",Daten!I31)</f>
        <v/>
      </c>
      <c r="Q10" s="14"/>
      <c r="R10" s="14"/>
      <c r="S10" s="14"/>
      <c r="T10" s="14"/>
      <c r="U10" s="14"/>
      <c r="V10" s="14"/>
      <c r="W10" s="14"/>
      <c r="X10" s="14" t="str">
        <f>IF(Daten!C31="","",Daten!C31)</f>
        <v/>
      </c>
      <c r="Y10" s="14"/>
      <c r="AA10" s="237"/>
      <c r="AB10" s="14"/>
      <c r="AC10" s="14"/>
      <c r="AD10" s="14"/>
      <c r="AE10" s="14"/>
      <c r="AH10" s="14"/>
      <c r="AI10" s="14"/>
      <c r="AJ10" s="14"/>
      <c r="AK10" s="14"/>
      <c r="AL10" s="14"/>
    </row>
    <row r="11" spans="1:38" hidden="1" outlineLevel="1">
      <c r="A11" s="14">
        <v>11</v>
      </c>
      <c r="C11" s="14" t="str">
        <f>IF(Daten!F5="","",Daten!F5)</f>
        <v>Bremen</v>
      </c>
      <c r="D11" s="337"/>
      <c r="E11" s="14"/>
      <c r="F11" s="14"/>
      <c r="G11" s="14"/>
      <c r="H11" s="14"/>
      <c r="I11" s="14" t="str">
        <f>IF(Daten!F15="","",Daten!F15)</f>
        <v>w 13-15 1f</v>
      </c>
      <c r="J11" s="14"/>
      <c r="K11" s="14"/>
      <c r="L11" s="14" t="str">
        <f>IF(Daten!L5="","",Daten!L5)</f>
        <v>Schwaben</v>
      </c>
      <c r="M11" s="14"/>
      <c r="N11" s="14"/>
      <c r="O11" s="14" t="str">
        <f>Daten!L15</f>
        <v>m 13-15 1h</v>
      </c>
      <c r="P11" s="236" t="str">
        <f>IF(Daten!L25="","",Daten!L25)</f>
        <v>Westfalen</v>
      </c>
      <c r="Q11" s="14"/>
      <c r="R11" s="14"/>
      <c r="S11" s="14"/>
      <c r="T11" s="14"/>
      <c r="U11" s="14"/>
      <c r="V11" s="14"/>
      <c r="W11" s="14"/>
      <c r="X11" s="14" t="str">
        <f>IF(Daten!F25="","",Daten!F25)</f>
        <v>Sachsen</v>
      </c>
      <c r="Y11" s="14"/>
      <c r="AA11" s="237"/>
      <c r="AB11" s="14"/>
      <c r="AC11" s="14"/>
      <c r="AD11" s="14"/>
      <c r="AE11" s="14"/>
      <c r="AH11" s="14"/>
      <c r="AI11" s="14"/>
      <c r="AJ11" s="14"/>
      <c r="AK11" s="14"/>
      <c r="AL11" s="14"/>
    </row>
    <row r="12" spans="1:38" hidden="1" outlineLevel="1">
      <c r="A12" s="14">
        <v>12</v>
      </c>
      <c r="C12" s="14" t="str">
        <f>IF(Daten!F6="","",Daten!F6)</f>
        <v>Berlin</v>
      </c>
      <c r="D12" s="337"/>
      <c r="E12" s="14"/>
      <c r="F12" s="14"/>
      <c r="G12" s="14"/>
      <c r="H12" s="14"/>
      <c r="I12" s="14" t="str">
        <f>IF(Daten!F16="","",Daten!F16)</f>
        <v>w 13-15 2f</v>
      </c>
      <c r="J12" s="14"/>
      <c r="K12" s="14"/>
      <c r="L12" s="14" t="str">
        <f>IF(Daten!L6="","",Daten!L6)</f>
        <v>Berlin</v>
      </c>
      <c r="M12" s="14"/>
      <c r="N12" s="14"/>
      <c r="O12" s="14" t="str">
        <f>Daten!L16</f>
        <v>m 13-15 2h</v>
      </c>
      <c r="P12" s="236" t="str">
        <f>IF(Daten!L26="","",Daten!L26)</f>
        <v>Schwaben</v>
      </c>
      <c r="Q12" s="14"/>
      <c r="R12" s="14"/>
      <c r="S12" s="14"/>
      <c r="T12" s="14"/>
      <c r="U12" s="14"/>
      <c r="V12" s="14"/>
      <c r="W12" s="14"/>
      <c r="X12" s="14" t="str">
        <f>IF(Daten!F26="","",Daten!F26)</f>
        <v>Schwaben</v>
      </c>
      <c r="Y12" s="14"/>
      <c r="AA12" s="237"/>
      <c r="AB12" s="14"/>
      <c r="AC12" s="14"/>
      <c r="AD12" s="14"/>
      <c r="AE12" s="14"/>
      <c r="AH12" s="14"/>
      <c r="AI12" s="14"/>
      <c r="AJ12" s="14"/>
      <c r="AK12" s="14"/>
      <c r="AL12" s="14"/>
    </row>
    <row r="13" spans="1:38" hidden="1" outlineLevel="1">
      <c r="A13" s="14">
        <v>13</v>
      </c>
      <c r="C13" s="14" t="str">
        <f>IF(Daten!F7="","",Daten!F7)</f>
        <v>Schwaben</v>
      </c>
      <c r="D13" s="337"/>
      <c r="E13" s="14"/>
      <c r="F13" s="14"/>
      <c r="G13" s="14"/>
      <c r="H13" s="14"/>
      <c r="I13" s="14" t="str">
        <f>IF(Daten!F17="","",Daten!F17)</f>
        <v>w 13-15 3f</v>
      </c>
      <c r="J13" s="14"/>
      <c r="K13" s="14"/>
      <c r="L13" s="14" t="str">
        <f>IF(Daten!L7="","",Daten!L7)</f>
        <v>Sachsen</v>
      </c>
      <c r="M13" s="14"/>
      <c r="N13" s="14"/>
      <c r="O13" s="14" t="str">
        <f>Daten!L17</f>
        <v>m 13-15 3h</v>
      </c>
      <c r="P13" s="236" t="str">
        <f>IF(Daten!L27="","",Daten!L27)</f>
        <v>Pfalz</v>
      </c>
      <c r="Q13" s="14"/>
      <c r="R13" s="14"/>
      <c r="S13" s="14"/>
      <c r="T13" s="14"/>
      <c r="U13" s="14"/>
      <c r="V13" s="14"/>
      <c r="W13" s="14"/>
      <c r="X13" s="14" t="str">
        <f>IF(Daten!F27="","",Daten!F27)</f>
        <v>Bremen</v>
      </c>
      <c r="Y13" s="14"/>
      <c r="AA13" s="237"/>
      <c r="AB13" s="14"/>
      <c r="AC13" s="14"/>
      <c r="AD13" s="14"/>
      <c r="AE13" s="14"/>
      <c r="AH13" s="14"/>
      <c r="AI13" s="14"/>
      <c r="AJ13" s="14"/>
      <c r="AK13" s="14"/>
      <c r="AL13" s="14"/>
    </row>
    <row r="14" spans="1:38" hidden="1" outlineLevel="1">
      <c r="A14" s="14">
        <v>14</v>
      </c>
      <c r="C14" s="14" t="str">
        <f>IF(Daten!F8="","",Daten!F8)</f>
        <v>Hessen</v>
      </c>
      <c r="D14" s="337"/>
      <c r="E14" s="14"/>
      <c r="F14" s="14"/>
      <c r="G14" s="14"/>
      <c r="H14" s="14"/>
      <c r="I14" s="14" t="str">
        <f>IF(Daten!F18="","",Daten!F18)</f>
        <v>w 13-15 4f</v>
      </c>
      <c r="J14" s="14"/>
      <c r="K14" s="14"/>
      <c r="L14" s="14" t="str">
        <f>IF(Daten!L8="","",Daten!L8)</f>
        <v>Rheinland</v>
      </c>
      <c r="M14" s="14"/>
      <c r="N14" s="14"/>
      <c r="O14" s="14" t="str">
        <f>Daten!L18</f>
        <v>m 13-15 4h</v>
      </c>
      <c r="P14" s="236" t="str">
        <f>IF(Daten!L28="","",Daten!L28)</f>
        <v>Niedersachsen</v>
      </c>
      <c r="Q14" s="14"/>
      <c r="R14" s="14"/>
      <c r="S14" s="14"/>
      <c r="T14" s="14"/>
      <c r="U14" s="14"/>
      <c r="V14" s="14"/>
      <c r="W14" s="14"/>
      <c r="X14" s="14" t="str">
        <f>IF(Daten!F28="","",Daten!F28)</f>
        <v>Rheinland</v>
      </c>
      <c r="Y14" s="14"/>
      <c r="AA14" s="237"/>
      <c r="AB14" s="14"/>
      <c r="AC14" s="14"/>
      <c r="AD14" s="14"/>
      <c r="AE14" s="14"/>
      <c r="AH14" s="14"/>
      <c r="AI14" s="14"/>
      <c r="AJ14" s="14"/>
      <c r="AK14" s="14"/>
      <c r="AL14" s="14"/>
    </row>
    <row r="15" spans="1:38" hidden="1" outlineLevel="1">
      <c r="A15" s="14">
        <v>15</v>
      </c>
      <c r="C15" s="14" t="str">
        <f>IF(Daten!F9="","",Daten!F9)</f>
        <v/>
      </c>
      <c r="D15" s="337"/>
      <c r="E15" s="14"/>
      <c r="F15" s="14"/>
      <c r="G15" s="14"/>
      <c r="H15" s="14"/>
      <c r="I15" s="14" t="str">
        <f>IF(Daten!F19="","",Daten!F19)</f>
        <v/>
      </c>
      <c r="J15" s="14"/>
      <c r="K15" s="14"/>
      <c r="L15" s="14" t="str">
        <f>IF(Daten!L9="","",Daten!L9)</f>
        <v/>
      </c>
      <c r="M15" s="14"/>
      <c r="N15" s="14"/>
      <c r="O15" s="14">
        <f>Daten!L19</f>
        <v>0</v>
      </c>
      <c r="P15" s="236" t="str">
        <f>IF(Daten!L29="","",Daten!L29)</f>
        <v/>
      </c>
      <c r="Q15" s="14"/>
      <c r="R15" s="14"/>
      <c r="S15" s="14"/>
      <c r="T15" s="14"/>
      <c r="U15" s="14"/>
      <c r="V15" s="14"/>
      <c r="W15" s="14"/>
      <c r="X15" s="14" t="str">
        <f>IF(Daten!F29="","",Daten!F29)</f>
        <v/>
      </c>
      <c r="Y15" s="14"/>
      <c r="AA15" s="237"/>
      <c r="AB15" s="14"/>
      <c r="AC15" s="14"/>
      <c r="AD15" s="14"/>
      <c r="AE15" s="14"/>
      <c r="AH15" s="14"/>
      <c r="AI15" s="14"/>
      <c r="AJ15" s="14"/>
      <c r="AK15" s="14"/>
      <c r="AL15" s="14"/>
    </row>
    <row r="16" spans="1:38" s="14" customFormat="1" hidden="1" outlineLevel="1">
      <c r="A16" s="14">
        <v>16</v>
      </c>
      <c r="D16" s="337"/>
      <c r="L16" s="14" t="str">
        <f>IF(Daten!L10="","",Daten!L10)</f>
        <v/>
      </c>
      <c r="O16" s="14">
        <f>Daten!L20</f>
        <v>0</v>
      </c>
      <c r="P16" s="236"/>
      <c r="AB16" s="56"/>
    </row>
    <row r="17" spans="1:32" hidden="1" outlineLevel="1">
      <c r="A17" s="14">
        <v>17</v>
      </c>
      <c r="C17" s="14"/>
      <c r="D17" s="337"/>
      <c r="E17" s="14"/>
      <c r="F17" s="14"/>
      <c r="G17" s="14"/>
      <c r="H17" s="14"/>
      <c r="I17" s="14"/>
      <c r="J17" s="14"/>
      <c r="K17" s="14"/>
      <c r="L17" s="14" t="str">
        <f>IF(Daten!L11="","",Daten!L11)</f>
        <v/>
      </c>
      <c r="M17" s="14"/>
      <c r="N17" s="14"/>
      <c r="O17" s="14">
        <f>Daten!L21</f>
        <v>0</v>
      </c>
      <c r="P17" s="236"/>
      <c r="Q17" s="14"/>
      <c r="R17" s="14"/>
      <c r="S17" s="14"/>
      <c r="T17" s="14"/>
      <c r="U17" s="14"/>
      <c r="V17" s="14"/>
      <c r="W17" s="14"/>
      <c r="X17" s="14"/>
      <c r="Y17" s="14"/>
    </row>
    <row r="18" spans="1:32" hidden="1" outlineLevel="1">
      <c r="C18" s="14"/>
      <c r="D18" s="337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236"/>
      <c r="Q18" s="14"/>
      <c r="R18" s="14"/>
      <c r="S18" s="14"/>
      <c r="T18" s="14"/>
      <c r="U18" s="14"/>
      <c r="V18" s="14"/>
      <c r="W18" s="14"/>
      <c r="X18" s="14"/>
      <c r="Y18" s="14"/>
    </row>
    <row r="19" spans="1:32" hidden="1" outlineLevel="1">
      <c r="C19" s="14"/>
      <c r="D19" s="337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236"/>
      <c r="Q19" s="14"/>
      <c r="R19" s="14"/>
      <c r="S19" s="14"/>
      <c r="T19" s="14"/>
      <c r="U19" s="14"/>
      <c r="V19" s="14"/>
      <c r="W19" s="14"/>
      <c r="X19" s="14"/>
      <c r="Y19" s="14"/>
    </row>
    <row r="20" spans="1:32" hidden="1" outlineLevel="1">
      <c r="C20" s="14"/>
      <c r="D20" s="337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36"/>
      <c r="Q20" s="14"/>
      <c r="R20" s="14"/>
      <c r="S20" s="14"/>
      <c r="T20" s="14"/>
      <c r="U20" s="14"/>
      <c r="V20" s="14"/>
      <c r="W20" s="14"/>
      <c r="X20" s="14"/>
      <c r="Y20" s="14"/>
    </row>
    <row r="21" spans="1:32" hidden="1" outlineLevel="1">
      <c r="C21" s="14"/>
      <c r="I21" s="14"/>
      <c r="J21" s="14"/>
      <c r="K21" s="14"/>
      <c r="L21" s="14"/>
      <c r="M21" s="14"/>
      <c r="N21" s="14"/>
      <c r="O21" s="14"/>
    </row>
    <row r="22" spans="1:32" ht="5.0999999999999996" hidden="1" customHeight="1" outlineLevel="1"/>
    <row r="23" spans="1:32" ht="12.75" customHeight="1" collapsed="1" thickBot="1">
      <c r="C23" s="239" t="s">
        <v>30</v>
      </c>
      <c r="D23" s="336" t="s">
        <v>0</v>
      </c>
      <c r="E23" s="239" t="s">
        <v>31</v>
      </c>
      <c r="F23" s="239" t="s">
        <v>32</v>
      </c>
      <c r="G23" s="239"/>
      <c r="H23" s="239"/>
      <c r="I23" s="239" t="s">
        <v>33</v>
      </c>
      <c r="J23" s="239"/>
      <c r="K23" s="239"/>
      <c r="L23" s="239" t="s">
        <v>33</v>
      </c>
      <c r="M23" s="239"/>
      <c r="N23" s="239"/>
      <c r="O23" s="239" t="s">
        <v>34</v>
      </c>
      <c r="P23" s="240" t="s">
        <v>35</v>
      </c>
      <c r="Q23" s="239"/>
      <c r="R23" s="239" t="s">
        <v>36</v>
      </c>
      <c r="S23" s="239"/>
      <c r="T23" s="239"/>
      <c r="U23" s="239" t="s">
        <v>14</v>
      </c>
      <c r="V23" s="239"/>
      <c r="W23" s="14"/>
      <c r="X23" s="239" t="s">
        <v>36</v>
      </c>
      <c r="Y23" s="239" t="s">
        <v>14</v>
      </c>
    </row>
    <row r="24" spans="1:32" ht="12.75" customHeight="1" thickTop="1">
      <c r="A24" s="47"/>
      <c r="B24" s="47" t="str">
        <f t="shared" ref="B24:B55" si="0">G24&amp;TEXT(H24,"00")&amp;TEXT(K24,"00")</f>
        <v>w110102</v>
      </c>
      <c r="C24" s="6">
        <v>1</v>
      </c>
      <c r="D24" s="339">
        <f>+Daten!N4</f>
        <v>0.375</v>
      </c>
      <c r="E24" s="6">
        <v>1</v>
      </c>
      <c r="F24" s="6">
        <v>1</v>
      </c>
      <c r="G24" s="251" t="s">
        <v>140</v>
      </c>
      <c r="H24" s="6">
        <v>1</v>
      </c>
      <c r="I24" s="244" t="str">
        <f t="shared" ref="I24:I26" ca="1" si="1">INDIRECT(ADDRESS(MATCH(H24,$A$1:$A$21,0),MATCH(G24,$A$3:$AE$3,0)))</f>
        <v>Westfalen</v>
      </c>
      <c r="J24" s="7" t="s">
        <v>16</v>
      </c>
      <c r="K24" s="6">
        <v>2</v>
      </c>
      <c r="L24" s="244" t="str">
        <f t="shared" ref="L24:L83" ca="1" si="2">INDIRECT(ADDRESS(MATCH(K24,$A$1:$A$21,0),MATCH(G24,$A$3:$AE$3,0)))</f>
        <v>Baden</v>
      </c>
      <c r="M24" s="12" t="s">
        <v>140</v>
      </c>
      <c r="N24" s="6">
        <v>3</v>
      </c>
      <c r="O24" s="244" t="str">
        <f t="shared" ref="O24:O83" ca="1" si="3">INDIRECT(ADDRESS(MATCH(N24,$A$1:$A$21,0),MATCH(M24,$A$3:$AE$3,0)))</f>
        <v>Niedersachsen</v>
      </c>
      <c r="P24" s="252" t="s">
        <v>333</v>
      </c>
      <c r="Q24" s="253">
        <v>46</v>
      </c>
      <c r="R24" s="254" t="s">
        <v>15</v>
      </c>
      <c r="S24" s="255">
        <v>21</v>
      </c>
      <c r="T24" s="223">
        <f t="shared" ref="T24:T42" si="4">IF(Q24="","",IF(Q24&gt;S24,2,IF(Q24&lt;S24,0,1)))</f>
        <v>2</v>
      </c>
      <c r="U24" s="7" t="s">
        <v>15</v>
      </c>
      <c r="V24" s="8">
        <f t="shared" ref="V24:V42" si="5">IF(S24="","",IF(S24&gt;Q24,2,IF(S24&lt;Q24,0,1)))</f>
        <v>0</v>
      </c>
      <c r="W24" s="6"/>
      <c r="X24" s="7" t="s">
        <v>37</v>
      </c>
      <c r="Y24" s="7" t="s">
        <v>37</v>
      </c>
      <c r="Z24" s="6" t="s">
        <v>45</v>
      </c>
      <c r="AA24" s="6" t="s">
        <v>27</v>
      </c>
      <c r="AB24" s="58"/>
      <c r="AC24" s="58"/>
      <c r="AD24" s="58"/>
      <c r="AE24" s="58"/>
      <c r="AF24" s="58"/>
    </row>
    <row r="25" spans="1:32">
      <c r="A25" s="47"/>
      <c r="B25" s="47" t="str">
        <f t="shared" si="0"/>
        <v>w111112</v>
      </c>
      <c r="C25" s="265">
        <v>1</v>
      </c>
      <c r="D25" s="339"/>
      <c r="E25" s="6">
        <f t="shared" ref="E25:E88" si="6">+E24+1</f>
        <v>2</v>
      </c>
      <c r="F25" s="6">
        <v>2</v>
      </c>
      <c r="G25" s="12" t="s">
        <v>140</v>
      </c>
      <c r="H25" s="6">
        <v>11</v>
      </c>
      <c r="I25" s="244" t="str">
        <f t="shared" ca="1" si="1"/>
        <v>Bremen</v>
      </c>
      <c r="J25" s="7" t="s">
        <v>16</v>
      </c>
      <c r="K25" s="6">
        <v>12</v>
      </c>
      <c r="L25" s="244" t="str">
        <f t="shared" ca="1" si="2"/>
        <v>Berlin</v>
      </c>
      <c r="M25" s="251" t="s">
        <v>140</v>
      </c>
      <c r="N25" s="11">
        <v>14</v>
      </c>
      <c r="O25" s="244" t="str">
        <f t="shared" ca="1" si="3"/>
        <v>Hessen</v>
      </c>
      <c r="P25" s="252" t="s">
        <v>334</v>
      </c>
      <c r="Q25" s="253">
        <v>53</v>
      </c>
      <c r="R25" s="254" t="s">
        <v>15</v>
      </c>
      <c r="S25" s="255">
        <v>11</v>
      </c>
      <c r="T25" s="223">
        <f t="shared" si="4"/>
        <v>2</v>
      </c>
      <c r="U25" s="7" t="s">
        <v>15</v>
      </c>
      <c r="V25" s="8">
        <f t="shared" si="5"/>
        <v>0</v>
      </c>
      <c r="W25" s="6"/>
      <c r="X25" s="7" t="s">
        <v>37</v>
      </c>
      <c r="Y25" s="7" t="s">
        <v>37</v>
      </c>
      <c r="Z25" s="6" t="s">
        <v>45</v>
      </c>
      <c r="AA25" s="6" t="s">
        <v>27</v>
      </c>
      <c r="AB25" s="58"/>
      <c r="AC25" s="58"/>
      <c r="AD25" s="58"/>
      <c r="AE25" s="58"/>
      <c r="AF25" s="58"/>
    </row>
    <row r="26" spans="1:32">
      <c r="A26" s="47"/>
      <c r="B26" s="47" t="str">
        <f t="shared" si="0"/>
        <v>m110102</v>
      </c>
      <c r="C26" s="256">
        <v>1</v>
      </c>
      <c r="D26" s="340"/>
      <c r="E26" s="228">
        <f t="shared" si="6"/>
        <v>3</v>
      </c>
      <c r="F26" s="228">
        <v>3</v>
      </c>
      <c r="G26" s="257" t="s">
        <v>139</v>
      </c>
      <c r="H26" s="228">
        <v>1</v>
      </c>
      <c r="I26" s="258" t="str">
        <f t="shared" ca="1" si="1"/>
        <v>Niedersachsen</v>
      </c>
      <c r="J26" s="5" t="s">
        <v>16</v>
      </c>
      <c r="K26" s="228">
        <v>2</v>
      </c>
      <c r="L26" s="258" t="str">
        <f t="shared" ca="1" si="2"/>
        <v>Baden</v>
      </c>
      <c r="M26" s="257" t="s">
        <v>139</v>
      </c>
      <c r="N26" s="273">
        <v>3</v>
      </c>
      <c r="O26" s="258" t="str">
        <f t="shared" ca="1" si="3"/>
        <v>Bremen</v>
      </c>
      <c r="P26" s="259" t="s">
        <v>335</v>
      </c>
      <c r="Q26" s="260">
        <v>37</v>
      </c>
      <c r="R26" s="261" t="s">
        <v>15</v>
      </c>
      <c r="S26" s="262">
        <v>36</v>
      </c>
      <c r="T26" s="263">
        <f t="shared" si="4"/>
        <v>2</v>
      </c>
      <c r="U26" s="5" t="s">
        <v>15</v>
      </c>
      <c r="V26" s="264">
        <f t="shared" si="5"/>
        <v>0</v>
      </c>
      <c r="W26" s="6"/>
      <c r="X26" s="5" t="s">
        <v>37</v>
      </c>
      <c r="Y26" s="5" t="s">
        <v>37</v>
      </c>
      <c r="Z26" s="6" t="s">
        <v>46</v>
      </c>
      <c r="AA26" s="6" t="s">
        <v>27</v>
      </c>
      <c r="AB26" s="58"/>
      <c r="AC26" s="58"/>
      <c r="AD26" s="58"/>
      <c r="AE26" s="58"/>
      <c r="AF26" s="58"/>
    </row>
    <row r="27" spans="1:32">
      <c r="A27" s="47"/>
      <c r="B27" s="47" t="str">
        <f t="shared" si="0"/>
        <v>w110304</v>
      </c>
      <c r="C27" s="6">
        <v>2</v>
      </c>
      <c r="D27" s="339">
        <f>+Daten!N5</f>
        <v>0.3923611111111111</v>
      </c>
      <c r="E27" s="6">
        <f t="shared" si="6"/>
        <v>4</v>
      </c>
      <c r="F27" s="6">
        <v>1</v>
      </c>
      <c r="G27" s="251" t="s">
        <v>140</v>
      </c>
      <c r="H27" s="6">
        <v>3</v>
      </c>
      <c r="I27" s="244" t="str">
        <f t="shared" ref="I27:I53" ca="1" si="7">INDIRECT(ADDRESS(MATCH(H27,$A$1:$A$21,0),MATCH(G27,$A$3:$AE$3,0)))</f>
        <v>Niedersachsen</v>
      </c>
      <c r="J27" s="7" t="s">
        <v>16</v>
      </c>
      <c r="K27" s="6">
        <v>4</v>
      </c>
      <c r="L27" s="244" t="str">
        <f t="shared" ref="L27:L53" ca="1" si="8">INDIRECT(ADDRESS(MATCH(K27,$A$1:$A$21,0),MATCH(G27,$A$3:$AE$3,0)))</f>
        <v>Pfalz</v>
      </c>
      <c r="M27" s="251" t="s">
        <v>140</v>
      </c>
      <c r="N27" s="11">
        <v>5</v>
      </c>
      <c r="O27" s="244" t="str">
        <f t="shared" ref="O27:O48" ca="1" si="9">INDIRECT(ADDRESS(MATCH(N27,$A$1:$A$21,0),MATCH(M27,$A$3:$AE$3,0)))</f>
        <v>Rheinland</v>
      </c>
      <c r="P27" s="252" t="s">
        <v>336</v>
      </c>
      <c r="Q27" s="253">
        <v>46</v>
      </c>
      <c r="R27" s="254" t="s">
        <v>15</v>
      </c>
      <c r="S27" s="255">
        <v>19</v>
      </c>
      <c r="T27" s="223">
        <f t="shared" si="4"/>
        <v>2</v>
      </c>
      <c r="U27" s="7" t="s">
        <v>15</v>
      </c>
      <c r="V27" s="8">
        <f t="shared" si="5"/>
        <v>0</v>
      </c>
      <c r="W27" s="6"/>
      <c r="X27" s="7" t="s">
        <v>37</v>
      </c>
      <c r="Y27" s="7" t="s">
        <v>37</v>
      </c>
      <c r="Z27" s="6" t="s">
        <v>46</v>
      </c>
      <c r="AA27" s="6" t="s">
        <v>27</v>
      </c>
      <c r="AB27" s="58"/>
      <c r="AC27" s="58"/>
      <c r="AD27" s="58"/>
      <c r="AE27" s="58"/>
      <c r="AF27" s="58"/>
    </row>
    <row r="28" spans="1:32">
      <c r="A28" s="47"/>
      <c r="B28" s="47" t="str">
        <f t="shared" si="0"/>
        <v>w111314</v>
      </c>
      <c r="C28" s="265">
        <v>2</v>
      </c>
      <c r="D28" s="339"/>
      <c r="E28" s="6">
        <f t="shared" si="6"/>
        <v>5</v>
      </c>
      <c r="F28" s="6">
        <v>2</v>
      </c>
      <c r="G28" s="251" t="s">
        <v>140</v>
      </c>
      <c r="H28" s="6">
        <v>13</v>
      </c>
      <c r="I28" s="244" t="str">
        <f t="shared" ca="1" si="7"/>
        <v>Schwaben</v>
      </c>
      <c r="J28" s="7" t="s">
        <v>16</v>
      </c>
      <c r="K28" s="6">
        <v>14</v>
      </c>
      <c r="L28" s="244" t="str">
        <f t="shared" ca="1" si="8"/>
        <v>Hessen</v>
      </c>
      <c r="M28" s="251" t="s">
        <v>140</v>
      </c>
      <c r="N28" s="11">
        <v>11</v>
      </c>
      <c r="O28" s="244" t="str">
        <f t="shared" ca="1" si="9"/>
        <v>Bremen</v>
      </c>
      <c r="P28" s="252" t="s">
        <v>337</v>
      </c>
      <c r="Q28" s="253">
        <v>51</v>
      </c>
      <c r="R28" s="254" t="s">
        <v>15</v>
      </c>
      <c r="S28" s="255">
        <v>25</v>
      </c>
      <c r="T28" s="223">
        <f t="shared" si="4"/>
        <v>2</v>
      </c>
      <c r="U28" s="7" t="s">
        <v>15</v>
      </c>
      <c r="V28" s="8">
        <f t="shared" si="5"/>
        <v>0</v>
      </c>
      <c r="W28" s="6"/>
      <c r="X28" s="7" t="s">
        <v>37</v>
      </c>
      <c r="Y28" s="7" t="s">
        <v>37</v>
      </c>
      <c r="Z28" s="6" t="s">
        <v>47</v>
      </c>
      <c r="AA28" s="6" t="s">
        <v>27</v>
      </c>
      <c r="AB28" s="58"/>
      <c r="AC28" s="58"/>
      <c r="AD28" s="58"/>
      <c r="AE28" s="58"/>
      <c r="AF28" s="58"/>
    </row>
    <row r="29" spans="1:32">
      <c r="A29" s="47"/>
      <c r="B29" s="47" t="str">
        <f t="shared" si="0"/>
        <v>m110304</v>
      </c>
      <c r="C29" s="256">
        <v>2</v>
      </c>
      <c r="D29" s="340"/>
      <c r="E29" s="228">
        <f t="shared" si="6"/>
        <v>6</v>
      </c>
      <c r="F29" s="228">
        <v>3</v>
      </c>
      <c r="G29" s="285" t="s">
        <v>139</v>
      </c>
      <c r="H29" s="228">
        <v>3</v>
      </c>
      <c r="I29" s="258" t="str">
        <f t="shared" ca="1" si="7"/>
        <v>Bremen</v>
      </c>
      <c r="J29" s="5" t="s">
        <v>16</v>
      </c>
      <c r="K29" s="228">
        <v>4</v>
      </c>
      <c r="L29" s="266" t="str">
        <f t="shared" ca="1" si="8"/>
        <v>Pfalz</v>
      </c>
      <c r="M29" s="257" t="s">
        <v>139</v>
      </c>
      <c r="N29" s="273">
        <v>5</v>
      </c>
      <c r="O29" s="266" t="str">
        <f t="shared" ca="1" si="9"/>
        <v>Westfalen</v>
      </c>
      <c r="P29" s="259" t="s">
        <v>338</v>
      </c>
      <c r="Q29" s="341">
        <v>51</v>
      </c>
      <c r="R29" s="261" t="s">
        <v>15</v>
      </c>
      <c r="S29" s="262">
        <v>17</v>
      </c>
      <c r="T29" s="263">
        <f t="shared" si="4"/>
        <v>2</v>
      </c>
      <c r="U29" s="5" t="s">
        <v>15</v>
      </c>
      <c r="V29" s="264">
        <f t="shared" si="5"/>
        <v>0</v>
      </c>
      <c r="W29" s="6"/>
      <c r="X29" s="5" t="s">
        <v>37</v>
      </c>
      <c r="Y29" s="5" t="s">
        <v>37</v>
      </c>
      <c r="Z29" s="6" t="s">
        <v>47</v>
      </c>
      <c r="AA29" s="6" t="s">
        <v>27</v>
      </c>
      <c r="AB29" s="58"/>
      <c r="AC29" s="58"/>
      <c r="AD29" s="58"/>
      <c r="AE29" s="58"/>
      <c r="AF29" s="58"/>
    </row>
    <row r="30" spans="1:32">
      <c r="A30" s="47"/>
      <c r="B30" s="47" t="str">
        <f t="shared" si="0"/>
        <v>w110105</v>
      </c>
      <c r="C30" s="6">
        <v>3</v>
      </c>
      <c r="D30" s="339">
        <f>+Daten!N6</f>
        <v>0.40972222222222221</v>
      </c>
      <c r="E30" s="6">
        <f t="shared" si="6"/>
        <v>7</v>
      </c>
      <c r="F30" s="6">
        <v>1</v>
      </c>
      <c r="G30" s="12" t="s">
        <v>140</v>
      </c>
      <c r="H30" s="6">
        <v>1</v>
      </c>
      <c r="I30" s="244" t="str">
        <f t="shared" ca="1" si="7"/>
        <v>Westfalen</v>
      </c>
      <c r="J30" s="7" t="s">
        <v>16</v>
      </c>
      <c r="K30" s="6">
        <v>5</v>
      </c>
      <c r="L30" s="268" t="str">
        <f t="shared" ca="1" si="8"/>
        <v>Rheinland</v>
      </c>
      <c r="M30" s="251" t="s">
        <v>140</v>
      </c>
      <c r="N30" s="11">
        <v>2</v>
      </c>
      <c r="O30" s="268" t="str">
        <f t="shared" ca="1" si="9"/>
        <v>Baden</v>
      </c>
      <c r="P30" s="252" t="s">
        <v>339</v>
      </c>
      <c r="Q30" s="253">
        <v>37</v>
      </c>
      <c r="R30" s="254" t="s">
        <v>15</v>
      </c>
      <c r="S30" s="255">
        <v>19</v>
      </c>
      <c r="T30" s="223">
        <f t="shared" si="4"/>
        <v>2</v>
      </c>
      <c r="U30" s="7" t="s">
        <v>15</v>
      </c>
      <c r="V30" s="8">
        <f t="shared" si="5"/>
        <v>0</v>
      </c>
      <c r="W30" s="58"/>
      <c r="X30" s="7" t="s">
        <v>37</v>
      </c>
      <c r="Y30" s="7" t="s">
        <v>37</v>
      </c>
      <c r="Z30" s="6" t="s">
        <v>48</v>
      </c>
      <c r="AA30" s="6" t="s">
        <v>27</v>
      </c>
      <c r="AB30" s="58"/>
      <c r="AC30" s="58"/>
      <c r="AD30" s="58"/>
      <c r="AE30" s="58"/>
      <c r="AF30" s="58"/>
    </row>
    <row r="31" spans="1:32">
      <c r="A31" s="47"/>
      <c r="B31" s="47" t="str">
        <f t="shared" si="0"/>
        <v>m111112</v>
      </c>
      <c r="C31" s="265">
        <v>3</v>
      </c>
      <c r="D31" s="339"/>
      <c r="E31" s="6">
        <f t="shared" si="6"/>
        <v>8</v>
      </c>
      <c r="F31" s="6">
        <v>2</v>
      </c>
      <c r="G31" s="251" t="s">
        <v>139</v>
      </c>
      <c r="H31" s="6">
        <v>11</v>
      </c>
      <c r="I31" s="244" t="str">
        <f t="shared" ca="1" si="7"/>
        <v>Schwaben</v>
      </c>
      <c r="J31" s="7" t="s">
        <v>16</v>
      </c>
      <c r="K31" s="6">
        <v>12</v>
      </c>
      <c r="L31" s="268" t="str">
        <f t="shared" ca="1" si="8"/>
        <v>Berlin</v>
      </c>
      <c r="M31" s="12" t="s">
        <v>139</v>
      </c>
      <c r="N31" s="11">
        <v>14</v>
      </c>
      <c r="O31" s="268" t="str">
        <f t="shared" ca="1" si="9"/>
        <v>Rheinland</v>
      </c>
      <c r="P31" s="252" t="s">
        <v>340</v>
      </c>
      <c r="Q31" s="253">
        <v>30</v>
      </c>
      <c r="R31" s="254" t="s">
        <v>15</v>
      </c>
      <c r="S31" s="255">
        <v>29</v>
      </c>
      <c r="T31" s="223">
        <f t="shared" si="4"/>
        <v>2</v>
      </c>
      <c r="U31" s="7" t="s">
        <v>15</v>
      </c>
      <c r="V31" s="8">
        <f t="shared" si="5"/>
        <v>0</v>
      </c>
      <c r="W31" s="58"/>
      <c r="X31" s="7" t="s">
        <v>37</v>
      </c>
      <c r="Y31" s="7" t="s">
        <v>37</v>
      </c>
      <c r="Z31" s="6" t="s">
        <v>48</v>
      </c>
      <c r="AA31" s="6" t="s">
        <v>27</v>
      </c>
      <c r="AB31" s="58"/>
      <c r="AC31" s="58"/>
      <c r="AD31" s="58"/>
      <c r="AE31" s="58"/>
      <c r="AF31" s="58"/>
    </row>
    <row r="32" spans="1:32">
      <c r="A32" s="47"/>
      <c r="B32" s="47" t="str">
        <f t="shared" si="0"/>
        <v>m110105</v>
      </c>
      <c r="C32" s="256">
        <v>3</v>
      </c>
      <c r="D32" s="340"/>
      <c r="E32" s="228">
        <f t="shared" si="6"/>
        <v>9</v>
      </c>
      <c r="F32" s="228">
        <v>3</v>
      </c>
      <c r="G32" s="257" t="s">
        <v>139</v>
      </c>
      <c r="H32" s="228">
        <v>1</v>
      </c>
      <c r="I32" s="258" t="str">
        <f t="shared" ca="1" si="7"/>
        <v>Niedersachsen</v>
      </c>
      <c r="J32" s="5" t="s">
        <v>16</v>
      </c>
      <c r="K32" s="228">
        <v>5</v>
      </c>
      <c r="L32" s="266" t="str">
        <f t="shared" ca="1" si="8"/>
        <v>Westfalen</v>
      </c>
      <c r="M32" s="257" t="s">
        <v>139</v>
      </c>
      <c r="N32" s="273">
        <v>2</v>
      </c>
      <c r="O32" s="266" t="str">
        <f t="shared" ca="1" si="9"/>
        <v>Baden</v>
      </c>
      <c r="P32" s="259" t="s">
        <v>342</v>
      </c>
      <c r="Q32" s="260">
        <v>39</v>
      </c>
      <c r="R32" s="261" t="s">
        <v>15</v>
      </c>
      <c r="S32" s="262">
        <v>23</v>
      </c>
      <c r="T32" s="263">
        <f t="shared" si="4"/>
        <v>2</v>
      </c>
      <c r="U32" s="5" t="s">
        <v>15</v>
      </c>
      <c r="V32" s="264">
        <f t="shared" si="5"/>
        <v>0</v>
      </c>
      <c r="W32" s="58"/>
      <c r="X32" s="5" t="s">
        <v>37</v>
      </c>
      <c r="Y32" s="5" t="s">
        <v>37</v>
      </c>
      <c r="Z32" s="6" t="s">
        <v>49</v>
      </c>
      <c r="AA32" s="6" t="s">
        <v>27</v>
      </c>
      <c r="AB32" s="58"/>
      <c r="AC32" s="58"/>
      <c r="AD32" s="58"/>
      <c r="AE32" s="58"/>
      <c r="AF32" s="58"/>
    </row>
    <row r="33" spans="1:32">
      <c r="A33" s="47"/>
      <c r="B33" s="47" t="str">
        <f t="shared" si="0"/>
        <v>w110203</v>
      </c>
      <c r="C33" s="6">
        <v>4</v>
      </c>
      <c r="D33" s="339">
        <f>+Daten!N7</f>
        <v>0.42708333333333331</v>
      </c>
      <c r="E33" s="6">
        <f t="shared" si="6"/>
        <v>10</v>
      </c>
      <c r="F33" s="6">
        <v>1</v>
      </c>
      <c r="G33" s="12" t="s">
        <v>140</v>
      </c>
      <c r="H33" s="6">
        <v>2</v>
      </c>
      <c r="I33" s="244" t="str">
        <f t="shared" ca="1" si="7"/>
        <v>Baden</v>
      </c>
      <c r="J33" s="7" t="s">
        <v>16</v>
      </c>
      <c r="K33" s="6">
        <v>3</v>
      </c>
      <c r="L33" s="268" t="str">
        <f t="shared" ca="1" si="8"/>
        <v>Niedersachsen</v>
      </c>
      <c r="M33" s="251" t="s">
        <v>140</v>
      </c>
      <c r="N33" s="11">
        <v>4</v>
      </c>
      <c r="O33" s="268" t="str">
        <f t="shared" ca="1" si="9"/>
        <v>Pfalz</v>
      </c>
      <c r="P33" s="252" t="s">
        <v>343</v>
      </c>
      <c r="Q33" s="253">
        <v>22</v>
      </c>
      <c r="R33" s="254" t="s">
        <v>15</v>
      </c>
      <c r="S33" s="255">
        <v>46</v>
      </c>
      <c r="T33" s="223">
        <f t="shared" si="4"/>
        <v>0</v>
      </c>
      <c r="U33" s="7" t="s">
        <v>15</v>
      </c>
      <c r="V33" s="8">
        <f t="shared" si="5"/>
        <v>2</v>
      </c>
      <c r="W33" s="58"/>
      <c r="X33" s="7" t="s">
        <v>37</v>
      </c>
      <c r="Y33" s="7" t="s">
        <v>37</v>
      </c>
      <c r="Z33" s="6" t="s">
        <v>49</v>
      </c>
      <c r="AA33" s="6" t="s">
        <v>27</v>
      </c>
      <c r="AB33" s="58"/>
      <c r="AC33" s="58"/>
      <c r="AD33" s="58"/>
      <c r="AE33" s="58"/>
      <c r="AF33" s="58"/>
    </row>
    <row r="34" spans="1:32">
      <c r="A34" s="47"/>
      <c r="B34" s="47" t="str">
        <f t="shared" si="0"/>
        <v>w111113</v>
      </c>
      <c r="C34" s="265">
        <v>4</v>
      </c>
      <c r="D34" s="339"/>
      <c r="E34" s="6">
        <f t="shared" si="6"/>
        <v>11</v>
      </c>
      <c r="F34" s="6">
        <v>2</v>
      </c>
      <c r="G34" s="251" t="s">
        <v>140</v>
      </c>
      <c r="H34" s="6">
        <v>11</v>
      </c>
      <c r="I34" s="244" t="str">
        <f t="shared" ca="1" si="7"/>
        <v>Bremen</v>
      </c>
      <c r="J34" s="7" t="s">
        <v>16</v>
      </c>
      <c r="K34" s="6">
        <v>13</v>
      </c>
      <c r="L34" s="268" t="str">
        <f t="shared" ca="1" si="8"/>
        <v>Schwaben</v>
      </c>
      <c r="M34" s="251" t="s">
        <v>140</v>
      </c>
      <c r="N34" s="11">
        <v>12</v>
      </c>
      <c r="O34" s="268" t="str">
        <f t="shared" ca="1" si="9"/>
        <v>Berlin</v>
      </c>
      <c r="P34" s="252" t="s">
        <v>344</v>
      </c>
      <c r="Q34" s="253">
        <v>37</v>
      </c>
      <c r="R34" s="254" t="s">
        <v>15</v>
      </c>
      <c r="S34" s="255">
        <v>25</v>
      </c>
      <c r="T34" s="223">
        <f t="shared" si="4"/>
        <v>2</v>
      </c>
      <c r="U34" s="7" t="s">
        <v>15</v>
      </c>
      <c r="V34" s="8">
        <f t="shared" si="5"/>
        <v>0</v>
      </c>
      <c r="W34" s="6"/>
      <c r="X34" s="7" t="s">
        <v>37</v>
      </c>
      <c r="Y34" s="7" t="s">
        <v>37</v>
      </c>
      <c r="Z34" s="6" t="s">
        <v>50</v>
      </c>
      <c r="AA34" s="6" t="s">
        <v>27</v>
      </c>
      <c r="AB34" s="58"/>
      <c r="AC34" s="58"/>
      <c r="AD34" s="58"/>
      <c r="AE34" s="58"/>
      <c r="AF34" s="58"/>
    </row>
    <row r="35" spans="1:32">
      <c r="A35" s="47"/>
      <c r="B35" s="47" t="str">
        <f t="shared" si="0"/>
        <v>m111314</v>
      </c>
      <c r="C35" s="265">
        <v>4</v>
      </c>
      <c r="D35" s="339"/>
      <c r="E35" s="6">
        <f t="shared" si="6"/>
        <v>12</v>
      </c>
      <c r="F35" s="6">
        <v>3</v>
      </c>
      <c r="G35" s="12" t="s">
        <v>139</v>
      </c>
      <c r="H35" s="6">
        <v>13</v>
      </c>
      <c r="I35" s="244" t="str">
        <f t="shared" ca="1" si="7"/>
        <v>Sachsen</v>
      </c>
      <c r="J35" s="7" t="s">
        <v>16</v>
      </c>
      <c r="K35" s="6">
        <v>14</v>
      </c>
      <c r="L35" s="268" t="str">
        <f t="shared" ca="1" si="8"/>
        <v>Rheinland</v>
      </c>
      <c r="M35" s="12" t="s">
        <v>139</v>
      </c>
      <c r="N35" s="11">
        <v>11</v>
      </c>
      <c r="O35" s="268" t="str">
        <f t="shared" ca="1" si="9"/>
        <v>Schwaben</v>
      </c>
      <c r="P35" s="252" t="s">
        <v>345</v>
      </c>
      <c r="Q35" s="253">
        <v>33</v>
      </c>
      <c r="R35" s="254" t="s">
        <v>15</v>
      </c>
      <c r="S35" s="255">
        <v>31</v>
      </c>
      <c r="T35" s="223">
        <f>IF(Q35="","",IF(Q35&gt;S35,2,IF(Q35&lt;S35,0,1)))</f>
        <v>2</v>
      </c>
      <c r="U35" s="7" t="s">
        <v>15</v>
      </c>
      <c r="V35" s="8">
        <f>IF(S35="","",IF(S35&gt;Q35,2,IF(S35&lt;Q35,0,1)))</f>
        <v>0</v>
      </c>
      <c r="W35" s="6"/>
      <c r="X35" s="7" t="s">
        <v>37</v>
      </c>
      <c r="Y35" s="7" t="s">
        <v>37</v>
      </c>
      <c r="Z35" s="6" t="s">
        <v>50</v>
      </c>
      <c r="AA35" s="6" t="s">
        <v>27</v>
      </c>
      <c r="AB35" s="58"/>
      <c r="AC35" s="58"/>
      <c r="AD35" s="58"/>
      <c r="AE35" s="58"/>
      <c r="AF35" s="58"/>
    </row>
    <row r="36" spans="1:32">
      <c r="A36" s="47"/>
      <c r="B36" s="47" t="str">
        <f t="shared" si="0"/>
        <v>m110203</v>
      </c>
      <c r="C36" s="342">
        <v>4</v>
      </c>
      <c r="D36" s="340"/>
      <c r="E36" s="228">
        <f t="shared" si="6"/>
        <v>13</v>
      </c>
      <c r="F36" s="228">
        <v>4</v>
      </c>
      <c r="G36" s="285" t="s">
        <v>139</v>
      </c>
      <c r="H36" s="228">
        <v>2</v>
      </c>
      <c r="I36" s="258" t="str">
        <f t="shared" ca="1" si="7"/>
        <v>Baden</v>
      </c>
      <c r="J36" s="5" t="s">
        <v>16</v>
      </c>
      <c r="K36" s="228">
        <v>3</v>
      </c>
      <c r="L36" s="266" t="str">
        <f t="shared" ca="1" si="8"/>
        <v>Bremen</v>
      </c>
      <c r="M36" s="285" t="s">
        <v>139</v>
      </c>
      <c r="N36" s="273">
        <v>4</v>
      </c>
      <c r="O36" s="266" t="str">
        <f t="shared" ca="1" si="9"/>
        <v>Pfalz</v>
      </c>
      <c r="P36" s="259" t="s">
        <v>346</v>
      </c>
      <c r="Q36" s="260">
        <v>30</v>
      </c>
      <c r="R36" s="261" t="s">
        <v>15</v>
      </c>
      <c r="S36" s="262">
        <v>29</v>
      </c>
      <c r="T36" s="263">
        <f t="shared" si="4"/>
        <v>2</v>
      </c>
      <c r="U36" s="5" t="s">
        <v>15</v>
      </c>
      <c r="V36" s="264">
        <f t="shared" si="5"/>
        <v>0</v>
      </c>
      <c r="W36" s="58"/>
      <c r="X36" s="5" t="s">
        <v>37</v>
      </c>
      <c r="Y36" s="5" t="s">
        <v>37</v>
      </c>
      <c r="Z36" s="6" t="s">
        <v>51</v>
      </c>
      <c r="AA36" s="6" t="s">
        <v>27</v>
      </c>
      <c r="AB36" s="58"/>
      <c r="AC36" s="58"/>
      <c r="AD36" s="58"/>
      <c r="AE36" s="58"/>
      <c r="AF36" s="58"/>
    </row>
    <row r="37" spans="1:32">
      <c r="A37" s="47"/>
      <c r="B37" s="47" t="str">
        <f t="shared" si="0"/>
        <v>w110405</v>
      </c>
      <c r="C37" s="6">
        <v>5</v>
      </c>
      <c r="D37" s="339">
        <f>+Daten!N8</f>
        <v>0.44444444444444442</v>
      </c>
      <c r="E37" s="6">
        <f t="shared" si="6"/>
        <v>14</v>
      </c>
      <c r="F37" s="6">
        <v>1</v>
      </c>
      <c r="G37" s="12" t="s">
        <v>140</v>
      </c>
      <c r="H37" s="6">
        <v>4</v>
      </c>
      <c r="I37" s="244" t="str">
        <f t="shared" ca="1" si="7"/>
        <v>Pfalz</v>
      </c>
      <c r="J37" s="7" t="s">
        <v>16</v>
      </c>
      <c r="K37" s="6">
        <v>5</v>
      </c>
      <c r="L37" s="268" t="str">
        <f t="shared" ca="1" si="8"/>
        <v>Rheinland</v>
      </c>
      <c r="M37" s="12" t="s">
        <v>140</v>
      </c>
      <c r="N37" s="11">
        <v>1</v>
      </c>
      <c r="O37" s="268" t="str">
        <f t="shared" ca="1" si="9"/>
        <v>Westfalen</v>
      </c>
      <c r="P37" s="252" t="s">
        <v>347</v>
      </c>
      <c r="Q37" s="253">
        <v>24</v>
      </c>
      <c r="R37" s="254" t="s">
        <v>15</v>
      </c>
      <c r="S37" s="255">
        <v>44</v>
      </c>
      <c r="T37" s="223">
        <f t="shared" si="4"/>
        <v>0</v>
      </c>
      <c r="U37" s="7" t="s">
        <v>15</v>
      </c>
      <c r="V37" s="8">
        <f t="shared" si="5"/>
        <v>2</v>
      </c>
      <c r="W37" s="58"/>
      <c r="X37" s="7" t="s">
        <v>37</v>
      </c>
      <c r="Y37" s="7" t="s">
        <v>37</v>
      </c>
      <c r="Z37" s="6" t="s">
        <v>51</v>
      </c>
      <c r="AA37" s="6" t="s">
        <v>27</v>
      </c>
      <c r="AB37" s="343"/>
      <c r="AC37" s="58"/>
      <c r="AD37" s="58"/>
      <c r="AE37" s="58"/>
      <c r="AF37" s="58"/>
    </row>
    <row r="38" spans="1:32">
      <c r="A38" s="47"/>
      <c r="B38" s="47" t="str">
        <f t="shared" si="0"/>
        <v>w111214</v>
      </c>
      <c r="C38" s="265">
        <v>5</v>
      </c>
      <c r="D38" s="339"/>
      <c r="E38" s="6">
        <f t="shared" si="6"/>
        <v>15</v>
      </c>
      <c r="F38" s="6">
        <v>2</v>
      </c>
      <c r="G38" s="12" t="s">
        <v>140</v>
      </c>
      <c r="H38" s="6">
        <v>12</v>
      </c>
      <c r="I38" s="244" t="str">
        <f t="shared" ca="1" si="7"/>
        <v>Berlin</v>
      </c>
      <c r="J38" s="7" t="s">
        <v>16</v>
      </c>
      <c r="K38" s="6">
        <v>14</v>
      </c>
      <c r="L38" s="268" t="str">
        <f t="shared" ca="1" si="8"/>
        <v>Hessen</v>
      </c>
      <c r="M38" s="12" t="s">
        <v>140</v>
      </c>
      <c r="N38" s="11">
        <v>13</v>
      </c>
      <c r="O38" s="268" t="str">
        <f t="shared" ca="1" si="9"/>
        <v>Schwaben</v>
      </c>
      <c r="P38" s="252" t="s">
        <v>348</v>
      </c>
      <c r="Q38" s="253">
        <v>28</v>
      </c>
      <c r="R38" s="254" t="s">
        <v>15</v>
      </c>
      <c r="S38" s="255">
        <v>45</v>
      </c>
      <c r="T38" s="223">
        <f t="shared" si="4"/>
        <v>0</v>
      </c>
      <c r="U38" s="7" t="s">
        <v>15</v>
      </c>
      <c r="V38" s="8">
        <f t="shared" si="5"/>
        <v>2</v>
      </c>
      <c r="W38" s="58"/>
      <c r="X38" s="7" t="s">
        <v>37</v>
      </c>
      <c r="Y38" s="7" t="s">
        <v>37</v>
      </c>
      <c r="Z38" s="6" t="s">
        <v>52</v>
      </c>
      <c r="AA38" s="6" t="s">
        <v>27</v>
      </c>
      <c r="AB38" s="58"/>
      <c r="AC38" s="58"/>
      <c r="AD38" s="58"/>
      <c r="AE38" s="58"/>
      <c r="AF38" s="58"/>
    </row>
    <row r="39" spans="1:32">
      <c r="A39" s="47"/>
      <c r="B39" s="47" t="str">
        <f t="shared" si="0"/>
        <v>m110405</v>
      </c>
      <c r="C39" s="256">
        <v>5</v>
      </c>
      <c r="D39" s="340"/>
      <c r="E39" s="228">
        <f t="shared" si="6"/>
        <v>16</v>
      </c>
      <c r="F39" s="228">
        <v>3</v>
      </c>
      <c r="G39" s="257" t="s">
        <v>139</v>
      </c>
      <c r="H39" s="228">
        <v>4</v>
      </c>
      <c r="I39" s="258" t="str">
        <f t="shared" ca="1" si="7"/>
        <v>Pfalz</v>
      </c>
      <c r="J39" s="5" t="s">
        <v>16</v>
      </c>
      <c r="K39" s="228">
        <v>5</v>
      </c>
      <c r="L39" s="266" t="str">
        <f t="shared" ca="1" si="8"/>
        <v>Westfalen</v>
      </c>
      <c r="M39" s="257" t="s">
        <v>139</v>
      </c>
      <c r="N39" s="273">
        <v>1</v>
      </c>
      <c r="O39" s="266" t="str">
        <f t="shared" ca="1" si="9"/>
        <v>Niedersachsen</v>
      </c>
      <c r="P39" s="259" t="s">
        <v>350</v>
      </c>
      <c r="Q39" s="260">
        <v>24</v>
      </c>
      <c r="R39" s="261" t="s">
        <v>15</v>
      </c>
      <c r="S39" s="262">
        <v>44</v>
      </c>
      <c r="T39" s="263">
        <f>IF(Q39="","",IF(Q39&gt;S39,2,IF(Q39&lt;S39,0,1)))</f>
        <v>0</v>
      </c>
      <c r="U39" s="5" t="s">
        <v>15</v>
      </c>
      <c r="V39" s="264">
        <f>IF(S39="","",IF(S39&gt;Q39,2,IF(S39&lt;Q39,0,1)))</f>
        <v>2</v>
      </c>
      <c r="W39" s="58"/>
      <c r="X39" s="5" t="s">
        <v>37</v>
      </c>
      <c r="Y39" s="5" t="s">
        <v>37</v>
      </c>
      <c r="Z39" s="6" t="s">
        <v>52</v>
      </c>
      <c r="AA39" s="6" t="s">
        <v>27</v>
      </c>
      <c r="AB39" s="58"/>
      <c r="AC39" s="58"/>
      <c r="AD39" s="58"/>
      <c r="AE39" s="58"/>
      <c r="AF39" s="58"/>
    </row>
    <row r="40" spans="1:32">
      <c r="A40" s="47"/>
      <c r="B40" s="47" t="str">
        <f t="shared" si="0"/>
        <v>w110103</v>
      </c>
      <c r="C40" s="6">
        <v>6</v>
      </c>
      <c r="D40" s="339">
        <f>+Daten!N9</f>
        <v>0.46180555555555552</v>
      </c>
      <c r="E40" s="6">
        <f t="shared" si="6"/>
        <v>17</v>
      </c>
      <c r="F40" s="6">
        <v>1</v>
      </c>
      <c r="G40" s="251" t="s">
        <v>140</v>
      </c>
      <c r="H40" s="6">
        <v>1</v>
      </c>
      <c r="I40" s="244" t="str">
        <f t="shared" ca="1" si="7"/>
        <v>Westfalen</v>
      </c>
      <c r="J40" s="7" t="s">
        <v>16</v>
      </c>
      <c r="K40" s="6">
        <v>3</v>
      </c>
      <c r="L40" s="268" t="str">
        <f t="shared" ca="1" si="8"/>
        <v>Niedersachsen</v>
      </c>
      <c r="M40" s="251" t="s">
        <v>140</v>
      </c>
      <c r="N40" s="11">
        <v>2</v>
      </c>
      <c r="O40" s="268" t="str">
        <f t="shared" ca="1" si="9"/>
        <v>Baden</v>
      </c>
      <c r="P40" s="252" t="s">
        <v>351</v>
      </c>
      <c r="Q40" s="253">
        <v>35</v>
      </c>
      <c r="R40" s="254" t="s">
        <v>15</v>
      </c>
      <c r="S40" s="255">
        <v>26</v>
      </c>
      <c r="T40" s="223">
        <f t="shared" si="4"/>
        <v>2</v>
      </c>
      <c r="U40" s="7" t="s">
        <v>15</v>
      </c>
      <c r="V40" s="8">
        <f t="shared" si="5"/>
        <v>0</v>
      </c>
      <c r="W40" s="6"/>
      <c r="X40" s="7" t="s">
        <v>37</v>
      </c>
      <c r="Y40" s="7" t="s">
        <v>37</v>
      </c>
      <c r="Z40" s="6" t="s">
        <v>53</v>
      </c>
      <c r="AA40" s="6" t="s">
        <v>27</v>
      </c>
      <c r="AB40" s="58"/>
      <c r="AC40" s="58"/>
      <c r="AD40" s="58"/>
      <c r="AE40" s="58"/>
      <c r="AF40" s="58"/>
    </row>
    <row r="41" spans="1:32">
      <c r="A41" s="47"/>
      <c r="B41" s="47" t="str">
        <f t="shared" si="0"/>
        <v>m111113</v>
      </c>
      <c r="C41" s="265">
        <v>6</v>
      </c>
      <c r="D41" s="339"/>
      <c r="E41" s="6">
        <f t="shared" si="6"/>
        <v>18</v>
      </c>
      <c r="F41" s="6">
        <v>2</v>
      </c>
      <c r="G41" s="12" t="s">
        <v>139</v>
      </c>
      <c r="H41" s="6">
        <v>11</v>
      </c>
      <c r="I41" s="244" t="str">
        <f t="shared" ca="1" si="7"/>
        <v>Schwaben</v>
      </c>
      <c r="J41" s="7" t="s">
        <v>16</v>
      </c>
      <c r="K41" s="6">
        <v>13</v>
      </c>
      <c r="L41" s="268" t="str">
        <f t="shared" ca="1" si="8"/>
        <v>Sachsen</v>
      </c>
      <c r="M41" s="12" t="s">
        <v>139</v>
      </c>
      <c r="N41" s="11">
        <v>12</v>
      </c>
      <c r="O41" s="268" t="str">
        <f t="shared" ca="1" si="9"/>
        <v>Berlin</v>
      </c>
      <c r="P41" s="252" t="s">
        <v>353</v>
      </c>
      <c r="Q41" s="253">
        <v>21</v>
      </c>
      <c r="R41" s="254" t="s">
        <v>15</v>
      </c>
      <c r="S41" s="255">
        <v>35</v>
      </c>
      <c r="T41" s="223">
        <f t="shared" si="4"/>
        <v>0</v>
      </c>
      <c r="U41" s="7" t="s">
        <v>15</v>
      </c>
      <c r="V41" s="8">
        <f t="shared" si="5"/>
        <v>2</v>
      </c>
      <c r="W41" s="6"/>
      <c r="X41" s="7" t="s">
        <v>37</v>
      </c>
      <c r="Y41" s="7" t="s">
        <v>37</v>
      </c>
      <c r="Z41" s="6" t="s">
        <v>53</v>
      </c>
      <c r="AA41" s="6" t="s">
        <v>27</v>
      </c>
      <c r="AB41" s="58"/>
      <c r="AC41" s="58"/>
      <c r="AD41" s="58"/>
      <c r="AE41" s="58"/>
      <c r="AF41" s="58"/>
    </row>
    <row r="42" spans="1:32">
      <c r="A42" s="47"/>
      <c r="B42" s="47" t="str">
        <f t="shared" si="0"/>
        <v>m110103</v>
      </c>
      <c r="C42" s="256">
        <v>6</v>
      </c>
      <c r="D42" s="340"/>
      <c r="E42" s="228">
        <f t="shared" si="6"/>
        <v>19</v>
      </c>
      <c r="F42" s="228">
        <v>3</v>
      </c>
      <c r="G42" s="285" t="s">
        <v>139</v>
      </c>
      <c r="H42" s="228">
        <v>1</v>
      </c>
      <c r="I42" s="258" t="str">
        <f t="shared" ca="1" si="7"/>
        <v>Niedersachsen</v>
      </c>
      <c r="J42" s="5" t="s">
        <v>16</v>
      </c>
      <c r="K42" s="228">
        <v>3</v>
      </c>
      <c r="L42" s="266" t="str">
        <f t="shared" ca="1" si="8"/>
        <v>Bremen</v>
      </c>
      <c r="M42" s="285" t="s">
        <v>139</v>
      </c>
      <c r="N42" s="273">
        <v>2</v>
      </c>
      <c r="O42" s="266" t="str">
        <f t="shared" ca="1" si="9"/>
        <v>Baden</v>
      </c>
      <c r="P42" s="259" t="s">
        <v>349</v>
      </c>
      <c r="Q42" s="260">
        <v>35</v>
      </c>
      <c r="R42" s="261" t="s">
        <v>15</v>
      </c>
      <c r="S42" s="262">
        <v>23</v>
      </c>
      <c r="T42" s="263">
        <f t="shared" si="4"/>
        <v>2</v>
      </c>
      <c r="U42" s="5" t="s">
        <v>15</v>
      </c>
      <c r="V42" s="264">
        <f t="shared" si="5"/>
        <v>0</v>
      </c>
      <c r="W42" s="58"/>
      <c r="X42" s="5" t="s">
        <v>37</v>
      </c>
      <c r="Y42" s="5" t="s">
        <v>37</v>
      </c>
      <c r="Z42" s="6" t="s">
        <v>54</v>
      </c>
      <c r="AA42" s="6" t="s">
        <v>27</v>
      </c>
      <c r="AB42" s="58"/>
      <c r="AC42" s="58"/>
      <c r="AD42" s="58"/>
      <c r="AE42" s="58"/>
      <c r="AF42" s="58"/>
    </row>
    <row r="43" spans="1:32">
      <c r="A43" s="47"/>
      <c r="B43" s="47" t="str">
        <f t="shared" si="0"/>
        <v>w110204</v>
      </c>
      <c r="C43" s="6">
        <v>7</v>
      </c>
      <c r="D43" s="339">
        <f>+Daten!N10</f>
        <v>0.47916666666666663</v>
      </c>
      <c r="E43" s="6">
        <f t="shared" si="6"/>
        <v>20</v>
      </c>
      <c r="F43" s="6">
        <v>1</v>
      </c>
      <c r="G43" s="251" t="s">
        <v>140</v>
      </c>
      <c r="H43" s="6">
        <v>2</v>
      </c>
      <c r="I43" s="244" t="str">
        <f t="shared" ca="1" si="7"/>
        <v>Baden</v>
      </c>
      <c r="J43" s="7" t="s">
        <v>16</v>
      </c>
      <c r="K43" s="6">
        <v>4</v>
      </c>
      <c r="L43" s="268" t="str">
        <f t="shared" ca="1" si="8"/>
        <v>Pfalz</v>
      </c>
      <c r="M43" s="12" t="s">
        <v>140</v>
      </c>
      <c r="N43" s="11">
        <v>5</v>
      </c>
      <c r="O43" s="268" t="str">
        <f t="shared" ca="1" si="9"/>
        <v>Rheinland</v>
      </c>
      <c r="P43" s="252" t="s">
        <v>333</v>
      </c>
      <c r="Q43" s="253">
        <v>45</v>
      </c>
      <c r="R43" s="254" t="s">
        <v>15</v>
      </c>
      <c r="S43" s="255">
        <v>23</v>
      </c>
      <c r="T43" s="223">
        <f>IF(Q43="","",IF(Q43&gt;S43,2,IF(Q43&lt;S43,0,1)))</f>
        <v>2</v>
      </c>
      <c r="U43" s="7" t="s">
        <v>15</v>
      </c>
      <c r="V43" s="8">
        <f>IF(S43="","",IF(S43&gt;Q43,2,IF(S43&lt;Q43,0,1)))</f>
        <v>0</v>
      </c>
      <c r="W43" s="58"/>
      <c r="X43" s="7" t="s">
        <v>37</v>
      </c>
      <c r="Y43" s="7" t="s">
        <v>37</v>
      </c>
      <c r="Z43" s="6" t="s">
        <v>54</v>
      </c>
      <c r="AA43" s="6" t="s">
        <v>27</v>
      </c>
      <c r="AB43" s="58"/>
      <c r="AC43" s="58"/>
      <c r="AD43" s="58"/>
      <c r="AE43" s="58"/>
      <c r="AF43" s="58"/>
    </row>
    <row r="44" spans="1:32">
      <c r="A44" s="47"/>
      <c r="B44" s="47" t="str">
        <f t="shared" si="0"/>
        <v>w111114</v>
      </c>
      <c r="C44" s="265">
        <v>7</v>
      </c>
      <c r="D44" s="344">
        <f>+Daten!N9</f>
        <v>0.46180555555555552</v>
      </c>
      <c r="E44" s="6">
        <f t="shared" si="6"/>
        <v>21</v>
      </c>
      <c r="F44" s="6">
        <v>2</v>
      </c>
      <c r="G44" s="251" t="s">
        <v>140</v>
      </c>
      <c r="H44" s="6">
        <v>11</v>
      </c>
      <c r="I44" s="244" t="str">
        <f t="shared" ca="1" si="7"/>
        <v>Bremen</v>
      </c>
      <c r="J44" s="7" t="s">
        <v>16</v>
      </c>
      <c r="K44" s="6">
        <v>14</v>
      </c>
      <c r="L44" s="268" t="str">
        <f t="shared" ca="1" si="8"/>
        <v>Hessen</v>
      </c>
      <c r="M44" s="12" t="s">
        <v>140</v>
      </c>
      <c r="N44" s="11">
        <v>12</v>
      </c>
      <c r="O44" s="268" t="str">
        <f t="shared" ca="1" si="9"/>
        <v>Berlin</v>
      </c>
      <c r="P44" s="252" t="s">
        <v>333</v>
      </c>
      <c r="Q44" s="253">
        <v>46</v>
      </c>
      <c r="R44" s="254" t="s">
        <v>15</v>
      </c>
      <c r="S44" s="255">
        <v>20</v>
      </c>
      <c r="T44" s="223">
        <f t="shared" ref="T44:T107" si="10">IF(Q44="","",IF(Q44&gt;S44,2,IF(Q44&lt;S44,0,1)))</f>
        <v>2</v>
      </c>
      <c r="U44" s="7" t="s">
        <v>15</v>
      </c>
      <c r="V44" s="8">
        <f t="shared" ref="V44:V107" si="11">IF(S44="","",IF(S44&gt;Q44,2,IF(S44&lt;Q44,0,1)))</f>
        <v>0</v>
      </c>
      <c r="W44" s="58"/>
      <c r="X44" s="7" t="s">
        <v>37</v>
      </c>
      <c r="Y44" s="7" t="s">
        <v>37</v>
      </c>
      <c r="Z44" s="6" t="s">
        <v>55</v>
      </c>
      <c r="AA44" s="6" t="s">
        <v>27</v>
      </c>
      <c r="AB44" s="58"/>
      <c r="AC44" s="58"/>
      <c r="AD44" s="58"/>
      <c r="AE44" s="58"/>
      <c r="AF44" s="58"/>
    </row>
    <row r="45" spans="1:32">
      <c r="A45" s="47"/>
      <c r="B45" s="47" t="str">
        <f t="shared" si="0"/>
        <v>m111214</v>
      </c>
      <c r="C45" s="265">
        <v>7</v>
      </c>
      <c r="D45" s="339"/>
      <c r="E45" s="6">
        <f t="shared" si="6"/>
        <v>22</v>
      </c>
      <c r="F45" s="6">
        <v>3</v>
      </c>
      <c r="G45" s="12" t="s">
        <v>139</v>
      </c>
      <c r="H45" s="6">
        <v>12</v>
      </c>
      <c r="I45" s="244" t="str">
        <f t="shared" ca="1" si="7"/>
        <v>Berlin</v>
      </c>
      <c r="J45" s="7" t="s">
        <v>16</v>
      </c>
      <c r="K45" s="6">
        <v>14</v>
      </c>
      <c r="L45" s="268" t="str">
        <f t="shared" ca="1" si="8"/>
        <v>Rheinland</v>
      </c>
      <c r="M45" s="251" t="s">
        <v>139</v>
      </c>
      <c r="N45" s="11">
        <v>13</v>
      </c>
      <c r="O45" s="268" t="str">
        <f t="shared" ca="1" si="9"/>
        <v>Sachsen</v>
      </c>
      <c r="P45" s="252" t="s">
        <v>354</v>
      </c>
      <c r="Q45" s="253">
        <v>25</v>
      </c>
      <c r="R45" s="254" t="s">
        <v>15</v>
      </c>
      <c r="S45" s="255">
        <v>38</v>
      </c>
      <c r="T45" s="223">
        <f t="shared" si="10"/>
        <v>0</v>
      </c>
      <c r="U45" s="7" t="s">
        <v>15</v>
      </c>
      <c r="V45" s="8">
        <f t="shared" si="11"/>
        <v>2</v>
      </c>
      <c r="W45" s="6"/>
      <c r="X45" s="7" t="s">
        <v>37</v>
      </c>
      <c r="Y45" s="7" t="s">
        <v>37</v>
      </c>
      <c r="Z45" s="6" t="s">
        <v>55</v>
      </c>
      <c r="AA45" s="6" t="s">
        <v>27</v>
      </c>
      <c r="AB45" s="58"/>
      <c r="AC45" s="58"/>
      <c r="AD45" s="58"/>
      <c r="AE45" s="58"/>
      <c r="AF45" s="58"/>
    </row>
    <row r="46" spans="1:32">
      <c r="A46" s="47"/>
      <c r="B46" s="47" t="str">
        <f t="shared" si="0"/>
        <v>m110204</v>
      </c>
      <c r="C46" s="256">
        <v>7</v>
      </c>
      <c r="D46" s="340"/>
      <c r="E46" s="228">
        <f t="shared" si="6"/>
        <v>23</v>
      </c>
      <c r="F46" s="228">
        <v>4</v>
      </c>
      <c r="G46" s="257" t="s">
        <v>139</v>
      </c>
      <c r="H46" s="228">
        <v>2</v>
      </c>
      <c r="I46" s="258" t="str">
        <f t="shared" ca="1" si="7"/>
        <v>Baden</v>
      </c>
      <c r="J46" s="5" t="s">
        <v>16</v>
      </c>
      <c r="K46" s="228">
        <v>4</v>
      </c>
      <c r="L46" s="266" t="str">
        <f t="shared" ca="1" si="8"/>
        <v>Pfalz</v>
      </c>
      <c r="M46" s="257" t="s">
        <v>139</v>
      </c>
      <c r="N46" s="273">
        <v>5</v>
      </c>
      <c r="O46" s="266" t="str">
        <f t="shared" ca="1" si="9"/>
        <v>Westfalen</v>
      </c>
      <c r="P46" s="259" t="s">
        <v>355</v>
      </c>
      <c r="Q46" s="260">
        <v>43</v>
      </c>
      <c r="R46" s="261" t="s">
        <v>15</v>
      </c>
      <c r="S46" s="262">
        <v>25</v>
      </c>
      <c r="T46" s="263">
        <f t="shared" si="10"/>
        <v>2</v>
      </c>
      <c r="U46" s="5" t="s">
        <v>15</v>
      </c>
      <c r="V46" s="264">
        <f t="shared" si="11"/>
        <v>0</v>
      </c>
      <c r="W46" s="6"/>
      <c r="X46" s="5" t="s">
        <v>37</v>
      </c>
      <c r="Y46" s="5" t="s">
        <v>37</v>
      </c>
      <c r="Z46" s="6" t="s">
        <v>56</v>
      </c>
      <c r="AA46" s="6" t="s">
        <v>27</v>
      </c>
      <c r="AB46" s="58"/>
      <c r="AC46" s="58"/>
      <c r="AD46" s="58"/>
      <c r="AE46" s="58"/>
      <c r="AF46" s="58"/>
    </row>
    <row r="47" spans="1:32">
      <c r="A47" s="47"/>
      <c r="B47" s="47" t="str">
        <f t="shared" si="0"/>
        <v>w110305</v>
      </c>
      <c r="C47" s="6">
        <v>8</v>
      </c>
      <c r="D47" s="339">
        <f>+Daten!N11</f>
        <v>0.49652777777777773</v>
      </c>
      <c r="E47" s="6">
        <f t="shared" si="6"/>
        <v>24</v>
      </c>
      <c r="F47" s="6">
        <v>1</v>
      </c>
      <c r="G47" s="12" t="s">
        <v>140</v>
      </c>
      <c r="H47" s="6">
        <v>3</v>
      </c>
      <c r="I47" s="244" t="str">
        <f t="shared" ca="1" si="7"/>
        <v>Niedersachsen</v>
      </c>
      <c r="J47" s="7" t="s">
        <v>16</v>
      </c>
      <c r="K47" s="6">
        <v>5</v>
      </c>
      <c r="L47" s="268" t="str">
        <f t="shared" ca="1" si="8"/>
        <v>Rheinland</v>
      </c>
      <c r="M47" s="12" t="s">
        <v>140</v>
      </c>
      <c r="N47" s="11">
        <v>1</v>
      </c>
      <c r="O47" s="268" t="str">
        <f t="shared" ca="1" si="9"/>
        <v>Westfalen</v>
      </c>
      <c r="P47" s="252" t="s">
        <v>356</v>
      </c>
      <c r="Q47" s="253">
        <v>40</v>
      </c>
      <c r="R47" s="254" t="s">
        <v>15</v>
      </c>
      <c r="S47" s="255">
        <v>19</v>
      </c>
      <c r="T47" s="223">
        <f t="shared" si="10"/>
        <v>2</v>
      </c>
      <c r="U47" s="7" t="s">
        <v>15</v>
      </c>
      <c r="V47" s="8">
        <f t="shared" si="11"/>
        <v>0</v>
      </c>
      <c r="W47" s="6"/>
      <c r="X47" s="7" t="s">
        <v>37</v>
      </c>
      <c r="Y47" s="7" t="s">
        <v>37</v>
      </c>
      <c r="Z47" s="6" t="s">
        <v>56</v>
      </c>
      <c r="AA47" s="6" t="s">
        <v>27</v>
      </c>
      <c r="AB47" s="58"/>
      <c r="AC47" s="58"/>
      <c r="AD47" s="58"/>
      <c r="AE47" s="58"/>
      <c r="AF47" s="58"/>
    </row>
    <row r="48" spans="1:32">
      <c r="A48" s="47"/>
      <c r="B48" s="47" t="str">
        <f t="shared" si="0"/>
        <v>w111213</v>
      </c>
      <c r="C48" s="265">
        <v>8</v>
      </c>
      <c r="D48" s="339"/>
      <c r="E48" s="6">
        <f t="shared" si="6"/>
        <v>25</v>
      </c>
      <c r="F48" s="6">
        <v>2</v>
      </c>
      <c r="G48" s="12" t="s">
        <v>140</v>
      </c>
      <c r="H48" s="6">
        <v>12</v>
      </c>
      <c r="I48" s="244" t="str">
        <f t="shared" ca="1" si="7"/>
        <v>Berlin</v>
      </c>
      <c r="J48" s="7" t="s">
        <v>16</v>
      </c>
      <c r="K48" s="6">
        <v>13</v>
      </c>
      <c r="L48" s="268" t="str">
        <f t="shared" ca="1" si="8"/>
        <v>Schwaben</v>
      </c>
      <c r="M48" s="12" t="s">
        <v>140</v>
      </c>
      <c r="N48" s="11">
        <v>14</v>
      </c>
      <c r="O48" s="268" t="str">
        <f t="shared" ca="1" si="9"/>
        <v>Hessen</v>
      </c>
      <c r="P48" s="252" t="s">
        <v>357</v>
      </c>
      <c r="Q48" s="253">
        <v>13</v>
      </c>
      <c r="R48" s="254" t="s">
        <v>15</v>
      </c>
      <c r="S48" s="255">
        <v>55</v>
      </c>
      <c r="T48" s="223">
        <f t="shared" si="10"/>
        <v>0</v>
      </c>
      <c r="U48" s="7" t="s">
        <v>15</v>
      </c>
      <c r="V48" s="8">
        <f t="shared" si="11"/>
        <v>2</v>
      </c>
      <c r="W48" s="6"/>
      <c r="X48" s="7" t="s">
        <v>37</v>
      </c>
      <c r="Y48" s="7" t="s">
        <v>37</v>
      </c>
      <c r="Z48" s="6" t="s">
        <v>57</v>
      </c>
      <c r="AA48" s="6" t="s">
        <v>27</v>
      </c>
      <c r="AB48" s="58"/>
      <c r="AC48" s="58"/>
      <c r="AD48" s="58"/>
      <c r="AE48" s="58"/>
      <c r="AF48" s="58"/>
    </row>
    <row r="49" spans="1:34">
      <c r="A49" s="47"/>
      <c r="B49" s="47" t="str">
        <f t="shared" si="0"/>
        <v>m110305</v>
      </c>
      <c r="C49" s="256">
        <v>8</v>
      </c>
      <c r="D49" s="340"/>
      <c r="E49" s="228">
        <f t="shared" si="6"/>
        <v>26</v>
      </c>
      <c r="F49" s="228">
        <v>3</v>
      </c>
      <c r="G49" s="257" t="s">
        <v>139</v>
      </c>
      <c r="H49" s="228">
        <v>3</v>
      </c>
      <c r="I49" s="258" t="str">
        <f t="shared" ca="1" si="7"/>
        <v>Bremen</v>
      </c>
      <c r="J49" s="5" t="s">
        <v>16</v>
      </c>
      <c r="K49" s="228">
        <v>5</v>
      </c>
      <c r="L49" s="266" t="str">
        <f t="shared" ca="1" si="8"/>
        <v>Westfalen</v>
      </c>
      <c r="M49" s="257" t="s">
        <v>139</v>
      </c>
      <c r="N49" s="273">
        <v>1</v>
      </c>
      <c r="O49" s="266" t="str">
        <f t="shared" ca="1" si="3"/>
        <v>Niedersachsen</v>
      </c>
      <c r="P49" s="259" t="s">
        <v>358</v>
      </c>
      <c r="Q49" s="260">
        <v>38</v>
      </c>
      <c r="R49" s="261" t="s">
        <v>15</v>
      </c>
      <c r="S49" s="262">
        <v>25</v>
      </c>
      <c r="T49" s="263">
        <f t="shared" si="10"/>
        <v>2</v>
      </c>
      <c r="U49" s="5" t="s">
        <v>15</v>
      </c>
      <c r="V49" s="264">
        <f t="shared" si="11"/>
        <v>0</v>
      </c>
      <c r="W49" s="58"/>
      <c r="X49" s="5" t="s">
        <v>37</v>
      </c>
      <c r="Y49" s="5" t="s">
        <v>37</v>
      </c>
      <c r="Z49" s="6" t="s">
        <v>57</v>
      </c>
      <c r="AA49" s="6" t="s">
        <v>27</v>
      </c>
      <c r="AB49" s="58"/>
      <c r="AC49" s="58"/>
      <c r="AD49" s="58"/>
      <c r="AE49" s="58"/>
      <c r="AF49" s="58"/>
    </row>
    <row r="50" spans="1:34">
      <c r="A50" s="47"/>
      <c r="B50" s="47" t="str">
        <f t="shared" si="0"/>
        <v>w110104</v>
      </c>
      <c r="C50" s="6">
        <v>9</v>
      </c>
      <c r="D50" s="339">
        <f>+Daten!N12</f>
        <v>0.51388888888888884</v>
      </c>
      <c r="E50" s="6">
        <f t="shared" si="6"/>
        <v>27</v>
      </c>
      <c r="F50" s="6">
        <v>1</v>
      </c>
      <c r="G50" s="251" t="s">
        <v>140</v>
      </c>
      <c r="H50" s="6">
        <v>1</v>
      </c>
      <c r="I50" s="244" t="str">
        <f t="shared" ca="1" si="7"/>
        <v>Westfalen</v>
      </c>
      <c r="J50" s="7" t="s">
        <v>16</v>
      </c>
      <c r="K50" s="6">
        <v>4</v>
      </c>
      <c r="L50" s="268" t="str">
        <f t="shared" ca="1" si="8"/>
        <v>Pfalz</v>
      </c>
      <c r="M50" s="251" t="s">
        <v>140</v>
      </c>
      <c r="N50" s="11">
        <v>3</v>
      </c>
      <c r="O50" s="268" t="str">
        <f t="shared" ca="1" si="3"/>
        <v>Niedersachsen</v>
      </c>
      <c r="P50" s="252" t="s">
        <v>359</v>
      </c>
      <c r="Q50" s="253">
        <v>38</v>
      </c>
      <c r="R50" s="254" t="s">
        <v>15</v>
      </c>
      <c r="S50" s="255">
        <v>25</v>
      </c>
      <c r="T50" s="223">
        <f t="shared" si="10"/>
        <v>2</v>
      </c>
      <c r="U50" s="7" t="s">
        <v>15</v>
      </c>
      <c r="V50" s="8">
        <f t="shared" si="11"/>
        <v>0</v>
      </c>
      <c r="W50" s="58"/>
      <c r="X50" s="7" t="s">
        <v>37</v>
      </c>
      <c r="Y50" s="7" t="s">
        <v>37</v>
      </c>
      <c r="Z50" s="6" t="s">
        <v>58</v>
      </c>
      <c r="AA50" s="6" t="s">
        <v>27</v>
      </c>
      <c r="AB50" s="58"/>
      <c r="AC50" s="58"/>
      <c r="AD50" s="58"/>
      <c r="AE50" s="58"/>
      <c r="AF50" s="58"/>
    </row>
    <row r="51" spans="1:34">
      <c r="A51" s="47"/>
      <c r="B51" s="47" t="str">
        <f t="shared" si="0"/>
        <v>m111114</v>
      </c>
      <c r="C51" s="265">
        <v>9</v>
      </c>
      <c r="D51" s="339"/>
      <c r="E51" s="6">
        <f t="shared" si="6"/>
        <v>28</v>
      </c>
      <c r="F51" s="6">
        <v>2</v>
      </c>
      <c r="G51" s="12" t="s">
        <v>139</v>
      </c>
      <c r="H51" s="6">
        <v>11</v>
      </c>
      <c r="I51" s="244" t="str">
        <f t="shared" ca="1" si="7"/>
        <v>Schwaben</v>
      </c>
      <c r="J51" s="7" t="s">
        <v>16</v>
      </c>
      <c r="K51" s="6">
        <v>14</v>
      </c>
      <c r="L51" s="268" t="str">
        <f t="shared" ca="1" si="8"/>
        <v>Rheinland</v>
      </c>
      <c r="M51" s="12" t="s">
        <v>139</v>
      </c>
      <c r="N51" s="11">
        <v>12</v>
      </c>
      <c r="O51" s="268" t="str">
        <f t="shared" ca="1" si="3"/>
        <v>Berlin</v>
      </c>
      <c r="P51" s="252" t="s">
        <v>360</v>
      </c>
      <c r="Q51" s="253">
        <v>31</v>
      </c>
      <c r="R51" s="254" t="s">
        <v>15</v>
      </c>
      <c r="S51" s="255">
        <v>25</v>
      </c>
      <c r="T51" s="223">
        <f t="shared" si="10"/>
        <v>2</v>
      </c>
      <c r="U51" s="7" t="s">
        <v>15</v>
      </c>
      <c r="V51" s="8">
        <f t="shared" si="11"/>
        <v>0</v>
      </c>
      <c r="W51" s="58"/>
      <c r="X51" s="7" t="s">
        <v>37</v>
      </c>
      <c r="Y51" s="7" t="s">
        <v>37</v>
      </c>
      <c r="Z51" s="6" t="s">
        <v>58</v>
      </c>
      <c r="AA51" s="6" t="s">
        <v>27</v>
      </c>
      <c r="AB51" s="58"/>
      <c r="AC51" s="58"/>
      <c r="AD51" s="58"/>
      <c r="AE51" s="58"/>
      <c r="AF51" s="58"/>
    </row>
    <row r="52" spans="1:34">
      <c r="A52" s="47"/>
      <c r="B52" s="47" t="str">
        <f t="shared" si="0"/>
        <v>m110104</v>
      </c>
      <c r="C52" s="256">
        <v>9</v>
      </c>
      <c r="D52" s="340"/>
      <c r="E52" s="228">
        <f t="shared" si="6"/>
        <v>29</v>
      </c>
      <c r="F52" s="228">
        <v>3</v>
      </c>
      <c r="G52" s="285" t="s">
        <v>139</v>
      </c>
      <c r="H52" s="228">
        <v>1</v>
      </c>
      <c r="I52" s="258" t="str">
        <f t="shared" ca="1" si="7"/>
        <v>Niedersachsen</v>
      </c>
      <c r="J52" s="5" t="s">
        <v>16</v>
      </c>
      <c r="K52" s="228">
        <v>4</v>
      </c>
      <c r="L52" s="266" t="str">
        <f t="shared" ca="1" si="8"/>
        <v>Pfalz</v>
      </c>
      <c r="M52" s="257" t="s">
        <v>139</v>
      </c>
      <c r="N52" s="273">
        <v>3</v>
      </c>
      <c r="O52" s="266" t="str">
        <f t="shared" ca="1" si="3"/>
        <v>Bremen</v>
      </c>
      <c r="P52" s="259" t="s">
        <v>361</v>
      </c>
      <c r="Q52" s="260">
        <v>48</v>
      </c>
      <c r="R52" s="261" t="s">
        <v>15</v>
      </c>
      <c r="S52" s="262">
        <v>17</v>
      </c>
      <c r="T52" s="263">
        <f t="shared" si="10"/>
        <v>2</v>
      </c>
      <c r="U52" s="5" t="s">
        <v>15</v>
      </c>
      <c r="V52" s="264">
        <f t="shared" si="11"/>
        <v>0</v>
      </c>
      <c r="W52" s="6"/>
      <c r="X52" s="5" t="s">
        <v>37</v>
      </c>
      <c r="Y52" s="5" t="s">
        <v>37</v>
      </c>
      <c r="Z52" s="6" t="s">
        <v>59</v>
      </c>
      <c r="AA52" s="6" t="s">
        <v>27</v>
      </c>
      <c r="AB52" s="58"/>
      <c r="AC52" s="58"/>
      <c r="AD52" s="58"/>
      <c r="AE52" s="58"/>
      <c r="AF52" s="58"/>
      <c r="AG52" s="57"/>
    </row>
    <row r="53" spans="1:34">
      <c r="A53" s="47"/>
      <c r="B53" s="47" t="str">
        <f t="shared" si="0"/>
        <v>w110205</v>
      </c>
      <c r="C53" s="6">
        <v>10</v>
      </c>
      <c r="D53" s="339">
        <f>+Daten!N13</f>
        <v>0.53125</v>
      </c>
      <c r="E53" s="6">
        <f t="shared" si="6"/>
        <v>30</v>
      </c>
      <c r="F53" s="6">
        <v>1</v>
      </c>
      <c r="G53" s="251" t="s">
        <v>140</v>
      </c>
      <c r="H53" s="6">
        <v>2</v>
      </c>
      <c r="I53" s="244" t="str">
        <f t="shared" ca="1" si="7"/>
        <v>Baden</v>
      </c>
      <c r="J53" s="7" t="s">
        <v>16</v>
      </c>
      <c r="K53" s="6">
        <v>5</v>
      </c>
      <c r="L53" s="268" t="str">
        <f t="shared" ca="1" si="8"/>
        <v>Rheinland</v>
      </c>
      <c r="M53" s="12" t="s">
        <v>140</v>
      </c>
      <c r="N53" s="11">
        <v>4</v>
      </c>
      <c r="O53" s="268" t="str">
        <f t="shared" ref="O53" ca="1" si="12">INDIRECT(ADDRESS(MATCH(N53,$A$1:$A$21,0),MATCH(M53,$A$3:$AE$3,0)))</f>
        <v>Pfalz</v>
      </c>
      <c r="P53" s="252" t="s">
        <v>362</v>
      </c>
      <c r="Q53" s="253">
        <v>32</v>
      </c>
      <c r="R53" s="254" t="s">
        <v>15</v>
      </c>
      <c r="S53" s="255">
        <v>25</v>
      </c>
      <c r="T53" s="223">
        <f t="shared" si="10"/>
        <v>2</v>
      </c>
      <c r="U53" s="7" t="s">
        <v>15</v>
      </c>
      <c r="V53" s="8">
        <f t="shared" si="11"/>
        <v>0</v>
      </c>
      <c r="W53" s="6"/>
      <c r="X53" s="7" t="s">
        <v>37</v>
      </c>
      <c r="Y53" s="7" t="s">
        <v>37</v>
      </c>
      <c r="Z53" s="6" t="s">
        <v>59</v>
      </c>
      <c r="AA53" s="6" t="s">
        <v>27</v>
      </c>
      <c r="AB53" s="58"/>
      <c r="AC53" s="58"/>
      <c r="AD53" s="58"/>
      <c r="AE53" s="58"/>
      <c r="AF53" s="58"/>
      <c r="AG53" s="57"/>
    </row>
    <row r="54" spans="1:34">
      <c r="A54" s="47"/>
      <c r="B54" s="47" t="str">
        <f t="shared" si="0"/>
        <v>m111213</v>
      </c>
      <c r="C54" s="265">
        <v>10</v>
      </c>
      <c r="D54" s="339"/>
      <c r="E54" s="6">
        <f t="shared" si="6"/>
        <v>31</v>
      </c>
      <c r="F54" s="6">
        <v>2</v>
      </c>
      <c r="G54" s="12" t="s">
        <v>139</v>
      </c>
      <c r="H54" s="6">
        <v>12</v>
      </c>
      <c r="I54" s="244" t="str">
        <f t="shared" ref="I54" ca="1" si="13">INDIRECT(ADDRESS(MATCH(H54,$A$1:$A$21,0),MATCH(G54,$A$3:$AE$3,0)))</f>
        <v>Berlin</v>
      </c>
      <c r="J54" s="7" t="s">
        <v>16</v>
      </c>
      <c r="K54" s="6">
        <v>13</v>
      </c>
      <c r="L54" s="268" t="str">
        <f t="shared" ca="1" si="2"/>
        <v>Sachsen</v>
      </c>
      <c r="M54" s="251" t="s">
        <v>139</v>
      </c>
      <c r="N54" s="11">
        <v>14</v>
      </c>
      <c r="O54" s="268" t="str">
        <f t="shared" ca="1" si="3"/>
        <v>Rheinland</v>
      </c>
      <c r="P54" s="252" t="s">
        <v>363</v>
      </c>
      <c r="Q54" s="253">
        <v>18</v>
      </c>
      <c r="R54" s="254" t="s">
        <v>15</v>
      </c>
      <c r="S54" s="255">
        <v>37</v>
      </c>
      <c r="T54" s="223">
        <f t="shared" si="10"/>
        <v>0</v>
      </c>
      <c r="U54" s="7" t="s">
        <v>15</v>
      </c>
      <c r="V54" s="8">
        <f t="shared" si="11"/>
        <v>2</v>
      </c>
      <c r="W54" s="58"/>
      <c r="X54" s="7" t="s">
        <v>37</v>
      </c>
      <c r="Y54" s="7" t="s">
        <v>37</v>
      </c>
      <c r="Z54" s="6" t="s">
        <v>60</v>
      </c>
      <c r="AA54" s="6" t="s">
        <v>27</v>
      </c>
      <c r="AB54" s="58"/>
      <c r="AC54" s="58"/>
      <c r="AD54" s="58"/>
      <c r="AE54" s="58"/>
      <c r="AF54" s="58"/>
      <c r="AG54" s="57"/>
    </row>
    <row r="55" spans="1:34" ht="13.5" thickBot="1">
      <c r="A55" s="47"/>
      <c r="B55" s="47" t="str">
        <f t="shared" si="0"/>
        <v>m110205</v>
      </c>
      <c r="C55" s="345">
        <v>10</v>
      </c>
      <c r="D55" s="346"/>
      <c r="E55" s="347">
        <f t="shared" si="6"/>
        <v>32</v>
      </c>
      <c r="F55" s="348">
        <v>3</v>
      </c>
      <c r="G55" s="349" t="s">
        <v>139</v>
      </c>
      <c r="H55" s="348">
        <v>2</v>
      </c>
      <c r="I55" s="350" t="str">
        <f t="shared" ref="I55:I83" ca="1" si="14">INDIRECT(ADDRESS(MATCH(H55,$A$1:$A$21,0),MATCH(G55,$A$3:$AE$3,0)))</f>
        <v>Baden</v>
      </c>
      <c r="J55" s="351" t="s">
        <v>16</v>
      </c>
      <c r="K55" s="348">
        <v>5</v>
      </c>
      <c r="L55" s="352" t="str">
        <f t="shared" ca="1" si="2"/>
        <v>Westfalen</v>
      </c>
      <c r="M55" s="353" t="s">
        <v>139</v>
      </c>
      <c r="N55" s="347">
        <v>4</v>
      </c>
      <c r="O55" s="352" t="str">
        <f t="shared" ca="1" si="3"/>
        <v>Pfalz</v>
      </c>
      <c r="P55" s="354" t="s">
        <v>364</v>
      </c>
      <c r="Q55" s="355">
        <v>32</v>
      </c>
      <c r="R55" s="356" t="s">
        <v>15</v>
      </c>
      <c r="S55" s="357">
        <v>26</v>
      </c>
      <c r="T55" s="358">
        <f t="shared" si="10"/>
        <v>2</v>
      </c>
      <c r="U55" s="351" t="s">
        <v>15</v>
      </c>
      <c r="V55" s="359">
        <f t="shared" si="11"/>
        <v>0</v>
      </c>
      <c r="W55" s="58"/>
      <c r="X55" s="351" t="s">
        <v>37</v>
      </c>
      <c r="Y55" s="351" t="s">
        <v>37</v>
      </c>
      <c r="Z55" s="6" t="s">
        <v>60</v>
      </c>
      <c r="AA55" s="6" t="s">
        <v>27</v>
      </c>
      <c r="AB55" s="58"/>
      <c r="AC55" s="58"/>
      <c r="AD55" s="58"/>
      <c r="AE55" s="58"/>
      <c r="AF55" s="58"/>
    </row>
    <row r="56" spans="1:34">
      <c r="A56" s="47"/>
      <c r="B56" s="47" t="str">
        <f t="shared" ref="B56:B87" si="15">G56&amp;TEXT(H56,"00")&amp;TEXT(K56,"00")</f>
        <v>m150102</v>
      </c>
      <c r="C56" s="6">
        <v>11</v>
      </c>
      <c r="D56" s="339">
        <f>+Daten!N14</f>
        <v>0.56944444444444442</v>
      </c>
      <c r="E56" s="6">
        <f t="shared" si="6"/>
        <v>33</v>
      </c>
      <c r="F56" s="6">
        <v>1</v>
      </c>
      <c r="G56" s="12" t="s">
        <v>178</v>
      </c>
      <c r="H56" s="6">
        <v>1</v>
      </c>
      <c r="I56" s="244" t="str">
        <f t="shared" ca="1" si="14"/>
        <v>Berlin</v>
      </c>
      <c r="J56" s="7" t="s">
        <v>16</v>
      </c>
      <c r="K56" s="6">
        <v>2</v>
      </c>
      <c r="L56" s="268" t="str">
        <f t="shared" ca="1" si="2"/>
        <v>Westfalen</v>
      </c>
      <c r="M56" s="251" t="s">
        <v>178</v>
      </c>
      <c r="N56" s="11">
        <v>3</v>
      </c>
      <c r="O56" s="268" t="str">
        <f t="shared" ca="1" si="3"/>
        <v>Baden</v>
      </c>
      <c r="P56" s="252" t="s">
        <v>366</v>
      </c>
      <c r="Q56" s="253">
        <v>25</v>
      </c>
      <c r="R56" s="254" t="s">
        <v>15</v>
      </c>
      <c r="S56" s="255">
        <v>41</v>
      </c>
      <c r="T56" s="223">
        <f t="shared" ref="T56:T83" si="16">IF(Q56="","",IF(Q56&gt;S56,2,IF(Q56&lt;S56,0,1)))</f>
        <v>0</v>
      </c>
      <c r="U56" s="7" t="s">
        <v>15</v>
      </c>
      <c r="V56" s="8">
        <f t="shared" ref="V56:V67" si="17">IF(S56="","",IF(S56&gt;Q56,2,IF(S56&lt;Q56,0,1)))</f>
        <v>2</v>
      </c>
      <c r="W56" s="58"/>
      <c r="X56" s="7" t="s">
        <v>37</v>
      </c>
      <c r="Y56" s="7" t="s">
        <v>37</v>
      </c>
      <c r="Z56" s="6" t="s">
        <v>61</v>
      </c>
      <c r="AA56" s="6" t="s">
        <v>27</v>
      </c>
      <c r="AB56" s="58"/>
      <c r="AC56" s="58"/>
      <c r="AD56" s="58"/>
      <c r="AE56" s="58"/>
      <c r="AF56" s="58"/>
      <c r="AG56" s="57"/>
    </row>
    <row r="57" spans="1:34">
      <c r="A57" s="47"/>
      <c r="B57" s="47" t="str">
        <f t="shared" si="15"/>
        <v>m151112</v>
      </c>
      <c r="C57" s="265">
        <v>11</v>
      </c>
      <c r="D57" s="339"/>
      <c r="E57" s="6">
        <f t="shared" si="6"/>
        <v>34</v>
      </c>
      <c r="F57" s="6">
        <v>2</v>
      </c>
      <c r="G57" s="251" t="s">
        <v>178</v>
      </c>
      <c r="H57" s="6">
        <v>11</v>
      </c>
      <c r="I57" s="244" t="str">
        <f t="shared" ca="1" si="14"/>
        <v>Sachsen</v>
      </c>
      <c r="J57" s="7" t="s">
        <v>16</v>
      </c>
      <c r="K57" s="6">
        <v>12</v>
      </c>
      <c r="L57" s="244" t="str">
        <f t="shared" ca="1" si="2"/>
        <v>Schwaben</v>
      </c>
      <c r="M57" s="12" t="s">
        <v>179</v>
      </c>
      <c r="N57" s="6">
        <v>11</v>
      </c>
      <c r="O57" s="244" t="str">
        <f t="shared" ca="1" si="3"/>
        <v>Westfalen</v>
      </c>
      <c r="P57" s="252" t="s">
        <v>367</v>
      </c>
      <c r="Q57" s="253">
        <v>30</v>
      </c>
      <c r="R57" s="254" t="s">
        <v>15</v>
      </c>
      <c r="S57" s="255">
        <v>39</v>
      </c>
      <c r="T57" s="223">
        <f t="shared" si="16"/>
        <v>0</v>
      </c>
      <c r="U57" s="7" t="s">
        <v>15</v>
      </c>
      <c r="V57" s="8">
        <f t="shared" si="17"/>
        <v>2</v>
      </c>
      <c r="W57" s="58"/>
      <c r="X57" s="7" t="s">
        <v>37</v>
      </c>
      <c r="Y57" s="7" t="s">
        <v>37</v>
      </c>
      <c r="Z57" s="6" t="s">
        <v>61</v>
      </c>
      <c r="AA57" s="6" t="s">
        <v>27</v>
      </c>
      <c r="AB57" s="58"/>
      <c r="AC57" s="58"/>
      <c r="AD57" s="58"/>
      <c r="AE57" s="58"/>
      <c r="AF57" s="58"/>
      <c r="AG57" s="57"/>
    </row>
    <row r="58" spans="1:34">
      <c r="A58" s="47"/>
      <c r="B58" s="47" t="str">
        <f t="shared" si="15"/>
        <v>m151314</v>
      </c>
      <c r="C58" s="256">
        <v>11</v>
      </c>
      <c r="D58" s="340"/>
      <c r="E58" s="228">
        <f t="shared" si="6"/>
        <v>35</v>
      </c>
      <c r="F58" s="228">
        <v>3</v>
      </c>
      <c r="G58" s="285" t="s">
        <v>178</v>
      </c>
      <c r="H58" s="228">
        <v>13</v>
      </c>
      <c r="I58" s="258" t="str">
        <f t="shared" ca="1" si="14"/>
        <v>Bremen</v>
      </c>
      <c r="J58" s="5" t="s">
        <v>16</v>
      </c>
      <c r="K58" s="228">
        <v>14</v>
      </c>
      <c r="L58" s="258" t="str">
        <f t="shared" ca="1" si="2"/>
        <v>Rheinland</v>
      </c>
      <c r="M58" s="257" t="s">
        <v>179</v>
      </c>
      <c r="N58" s="273">
        <v>12</v>
      </c>
      <c r="O58" s="258" t="str">
        <f t="shared" ca="1" si="3"/>
        <v>Schwaben</v>
      </c>
      <c r="P58" s="259" t="s">
        <v>368</v>
      </c>
      <c r="Q58" s="260">
        <v>39</v>
      </c>
      <c r="R58" s="261" t="s">
        <v>15</v>
      </c>
      <c r="S58" s="262">
        <v>19</v>
      </c>
      <c r="T58" s="263">
        <f t="shared" si="16"/>
        <v>2</v>
      </c>
      <c r="U58" s="5" t="s">
        <v>15</v>
      </c>
      <c r="V58" s="264">
        <f t="shared" si="17"/>
        <v>0</v>
      </c>
      <c r="W58" s="58"/>
      <c r="X58" s="5" t="s">
        <v>37</v>
      </c>
      <c r="Y58" s="5" t="s">
        <v>37</v>
      </c>
      <c r="Z58" s="6" t="s">
        <v>62</v>
      </c>
      <c r="AA58" s="6" t="s">
        <v>27</v>
      </c>
      <c r="AB58" s="58"/>
      <c r="AC58" s="58"/>
      <c r="AD58" s="58"/>
      <c r="AE58" s="58"/>
      <c r="AF58" s="58"/>
      <c r="AG58" s="57"/>
    </row>
    <row r="59" spans="1:34">
      <c r="A59" s="47"/>
      <c r="B59" s="47" t="str">
        <f t="shared" si="15"/>
        <v>m150304</v>
      </c>
      <c r="C59" s="6">
        <v>12</v>
      </c>
      <c r="D59" s="339">
        <f>+Daten!N15</f>
        <v>0.58680555555555558</v>
      </c>
      <c r="E59" s="6">
        <f t="shared" si="6"/>
        <v>36</v>
      </c>
      <c r="F59" s="6">
        <v>1</v>
      </c>
      <c r="G59" s="251" t="s">
        <v>178</v>
      </c>
      <c r="H59" s="6">
        <v>3</v>
      </c>
      <c r="I59" s="244" t="str">
        <f t="shared" ca="1" si="14"/>
        <v>Baden</v>
      </c>
      <c r="J59" s="7" t="s">
        <v>16</v>
      </c>
      <c r="K59" s="6">
        <v>4</v>
      </c>
      <c r="L59" s="244" t="str">
        <f t="shared" ca="1" si="2"/>
        <v>Niedersachsen</v>
      </c>
      <c r="M59" s="251" t="s">
        <v>178</v>
      </c>
      <c r="N59" s="11">
        <v>5</v>
      </c>
      <c r="O59" s="244" t="str">
        <f t="shared" ca="1" si="3"/>
        <v>Pfalz</v>
      </c>
      <c r="P59" s="252" t="s">
        <v>369</v>
      </c>
      <c r="Q59" s="253">
        <v>38</v>
      </c>
      <c r="R59" s="254" t="s">
        <v>15</v>
      </c>
      <c r="S59" s="255">
        <v>36</v>
      </c>
      <c r="T59" s="223">
        <f t="shared" si="16"/>
        <v>2</v>
      </c>
      <c r="U59" s="7" t="s">
        <v>15</v>
      </c>
      <c r="V59" s="8">
        <f t="shared" si="17"/>
        <v>0</v>
      </c>
      <c r="W59" s="58"/>
      <c r="X59" s="7" t="s">
        <v>37</v>
      </c>
      <c r="Y59" s="7" t="s">
        <v>37</v>
      </c>
      <c r="Z59" s="6" t="s">
        <v>62</v>
      </c>
      <c r="AA59" s="6" t="s">
        <v>27</v>
      </c>
      <c r="AB59" s="58"/>
      <c r="AC59" s="58"/>
      <c r="AD59" s="58"/>
      <c r="AE59" s="58"/>
      <c r="AF59" s="58"/>
    </row>
    <row r="60" spans="1:34">
      <c r="A60" s="47"/>
      <c r="B60" s="47" t="str">
        <f t="shared" si="15"/>
        <v>w150102</v>
      </c>
      <c r="C60" s="328">
        <v>12</v>
      </c>
      <c r="D60" s="339"/>
      <c r="E60" s="6">
        <f t="shared" si="6"/>
        <v>37</v>
      </c>
      <c r="F60" s="6">
        <v>2</v>
      </c>
      <c r="G60" s="12" t="s">
        <v>179</v>
      </c>
      <c r="H60" s="6">
        <v>1</v>
      </c>
      <c r="I60" s="244" t="str">
        <f t="shared" ca="1" si="14"/>
        <v>Bremen</v>
      </c>
      <c r="J60" s="7" t="s">
        <v>16</v>
      </c>
      <c r="K60" s="6">
        <v>2</v>
      </c>
      <c r="L60" s="244" t="str">
        <f t="shared" ca="1" si="2"/>
        <v>Baden</v>
      </c>
      <c r="M60" s="251" t="s">
        <v>178</v>
      </c>
      <c r="N60" s="11">
        <v>11</v>
      </c>
      <c r="O60" s="244" t="str">
        <f t="shared" ca="1" si="3"/>
        <v>Sachsen</v>
      </c>
      <c r="P60" s="252" t="s">
        <v>370</v>
      </c>
      <c r="Q60" s="253">
        <v>38</v>
      </c>
      <c r="R60" s="254" t="s">
        <v>15</v>
      </c>
      <c r="S60" s="255">
        <v>22</v>
      </c>
      <c r="T60" s="223">
        <f t="shared" si="16"/>
        <v>2</v>
      </c>
      <c r="U60" s="7" t="s">
        <v>15</v>
      </c>
      <c r="V60" s="8">
        <f t="shared" si="17"/>
        <v>0</v>
      </c>
      <c r="W60" s="6"/>
      <c r="X60" s="7" t="s">
        <v>37</v>
      </c>
      <c r="Y60" s="7" t="s">
        <v>37</v>
      </c>
      <c r="Z60" s="6" t="s">
        <v>63</v>
      </c>
      <c r="AA60" s="6" t="s">
        <v>27</v>
      </c>
      <c r="AB60" s="58"/>
      <c r="AC60" s="58"/>
      <c r="AD60" s="58"/>
      <c r="AE60" s="58"/>
      <c r="AF60" s="58"/>
      <c r="AG60" s="57"/>
    </row>
    <row r="61" spans="1:34">
      <c r="A61" s="47"/>
      <c r="B61" s="47" t="str">
        <f t="shared" si="15"/>
        <v>w150304</v>
      </c>
      <c r="C61" s="256">
        <v>12</v>
      </c>
      <c r="D61" s="340"/>
      <c r="E61" s="228">
        <f t="shared" si="6"/>
        <v>38</v>
      </c>
      <c r="F61" s="228">
        <v>3</v>
      </c>
      <c r="G61" s="285" t="s">
        <v>179</v>
      </c>
      <c r="H61" s="228">
        <v>3</v>
      </c>
      <c r="I61" s="258" t="str">
        <f t="shared" ca="1" si="14"/>
        <v>Rheinland</v>
      </c>
      <c r="J61" s="5" t="s">
        <v>16</v>
      </c>
      <c r="K61" s="228">
        <v>4</v>
      </c>
      <c r="L61" s="258" t="str">
        <f t="shared" ca="1" si="2"/>
        <v>Berlin</v>
      </c>
      <c r="M61" s="257" t="s">
        <v>178</v>
      </c>
      <c r="N61" s="273">
        <v>12</v>
      </c>
      <c r="O61" s="258" t="str">
        <f t="shared" ca="1" si="3"/>
        <v>Schwaben</v>
      </c>
      <c r="P61" s="259" t="s">
        <v>371</v>
      </c>
      <c r="Q61" s="260">
        <v>38</v>
      </c>
      <c r="R61" s="261" t="s">
        <v>15</v>
      </c>
      <c r="S61" s="262">
        <v>23</v>
      </c>
      <c r="T61" s="263">
        <f t="shared" si="16"/>
        <v>2</v>
      </c>
      <c r="U61" s="5" t="s">
        <v>15</v>
      </c>
      <c r="V61" s="264">
        <f t="shared" si="17"/>
        <v>0</v>
      </c>
      <c r="W61" s="6"/>
      <c r="X61" s="5" t="s">
        <v>37</v>
      </c>
      <c r="Y61" s="5" t="s">
        <v>37</v>
      </c>
      <c r="Z61" s="6" t="s">
        <v>63</v>
      </c>
      <c r="AA61" s="6" t="s">
        <v>27</v>
      </c>
      <c r="AB61" s="58"/>
      <c r="AC61" s="58"/>
      <c r="AD61" s="58"/>
      <c r="AE61" s="58"/>
      <c r="AF61" s="58"/>
      <c r="AG61" s="57"/>
    </row>
    <row r="62" spans="1:34">
      <c r="A62" s="47"/>
      <c r="B62" s="47" t="str">
        <f t="shared" si="15"/>
        <v>m150105</v>
      </c>
      <c r="C62" s="6">
        <v>13</v>
      </c>
      <c r="D62" s="339">
        <f>+Daten!N16</f>
        <v>0.60416666666666674</v>
      </c>
      <c r="E62" s="6">
        <f t="shared" si="6"/>
        <v>39</v>
      </c>
      <c r="F62" s="6">
        <v>1</v>
      </c>
      <c r="G62" s="251" t="s">
        <v>178</v>
      </c>
      <c r="H62" s="6">
        <v>1</v>
      </c>
      <c r="I62" s="244" t="str">
        <f t="shared" ca="1" si="14"/>
        <v>Berlin</v>
      </c>
      <c r="J62" s="7" t="s">
        <v>16</v>
      </c>
      <c r="K62" s="6">
        <v>5</v>
      </c>
      <c r="L62" s="244" t="str">
        <f t="shared" ca="1" si="2"/>
        <v>Pfalz</v>
      </c>
      <c r="M62" s="251" t="s">
        <v>178</v>
      </c>
      <c r="N62" s="11">
        <v>2</v>
      </c>
      <c r="O62" s="244" t="str">
        <f t="shared" ca="1" si="3"/>
        <v>Westfalen</v>
      </c>
      <c r="P62" s="252" t="s">
        <v>375</v>
      </c>
      <c r="Q62" s="253">
        <v>32</v>
      </c>
      <c r="R62" s="254" t="s">
        <v>15</v>
      </c>
      <c r="S62" s="255">
        <v>44</v>
      </c>
      <c r="T62" s="223">
        <f t="shared" si="16"/>
        <v>0</v>
      </c>
      <c r="U62" s="7" t="s">
        <v>15</v>
      </c>
      <c r="V62" s="8">
        <f t="shared" si="17"/>
        <v>2</v>
      </c>
      <c r="W62" s="6"/>
      <c r="X62" s="7" t="s">
        <v>37</v>
      </c>
      <c r="Y62" s="7" t="s">
        <v>37</v>
      </c>
      <c r="Z62" s="6" t="s">
        <v>64</v>
      </c>
      <c r="AA62" s="6" t="s">
        <v>27</v>
      </c>
      <c r="AB62" s="58"/>
      <c r="AC62" s="58"/>
      <c r="AD62" s="58"/>
      <c r="AE62" s="58"/>
      <c r="AF62" s="58"/>
      <c r="AG62" s="57"/>
    </row>
    <row r="63" spans="1:34">
      <c r="A63" s="47"/>
      <c r="B63" s="47" t="str">
        <f t="shared" si="15"/>
        <v>w151112</v>
      </c>
      <c r="C63" s="265">
        <v>13</v>
      </c>
      <c r="D63" s="339"/>
      <c r="E63" s="6">
        <f t="shared" si="6"/>
        <v>40</v>
      </c>
      <c r="F63" s="6">
        <v>2</v>
      </c>
      <c r="G63" s="251" t="s">
        <v>179</v>
      </c>
      <c r="H63" s="11">
        <v>11</v>
      </c>
      <c r="I63" s="244" t="str">
        <f t="shared" ca="1" si="14"/>
        <v>Westfalen</v>
      </c>
      <c r="J63" s="7" t="s">
        <v>16</v>
      </c>
      <c r="K63" s="6">
        <v>12</v>
      </c>
      <c r="L63" s="244" t="str">
        <f t="shared" ca="1" si="2"/>
        <v>Schwaben</v>
      </c>
      <c r="M63" s="251" t="s">
        <v>179</v>
      </c>
      <c r="N63" s="11">
        <v>1</v>
      </c>
      <c r="O63" s="244" t="str">
        <f t="shared" ca="1" si="3"/>
        <v>Bremen</v>
      </c>
      <c r="P63" s="252" t="s">
        <v>367</v>
      </c>
      <c r="Q63" s="253">
        <v>38</v>
      </c>
      <c r="R63" s="254" t="s">
        <v>15</v>
      </c>
      <c r="S63" s="255">
        <v>33</v>
      </c>
      <c r="T63" s="223">
        <f t="shared" si="16"/>
        <v>2</v>
      </c>
      <c r="U63" s="7" t="s">
        <v>15</v>
      </c>
      <c r="V63" s="8">
        <f t="shared" si="17"/>
        <v>0</v>
      </c>
      <c r="W63" s="6"/>
      <c r="X63" s="7" t="s">
        <v>37</v>
      </c>
      <c r="Y63" s="7" t="s">
        <v>37</v>
      </c>
      <c r="Z63" s="6" t="s">
        <v>64</v>
      </c>
      <c r="AA63" s="6" t="s">
        <v>27</v>
      </c>
      <c r="AB63" s="58"/>
      <c r="AF63" s="360"/>
      <c r="AG63" s="360"/>
      <c r="AH63" s="360"/>
    </row>
    <row r="64" spans="1:34">
      <c r="A64" s="47"/>
      <c r="B64" s="47" t="str">
        <f t="shared" si="15"/>
        <v>w151314</v>
      </c>
      <c r="C64" s="256">
        <v>13</v>
      </c>
      <c r="D64" s="340"/>
      <c r="E64" s="228">
        <f t="shared" si="6"/>
        <v>41</v>
      </c>
      <c r="F64" s="228">
        <v>3</v>
      </c>
      <c r="G64" s="257" t="s">
        <v>179</v>
      </c>
      <c r="H64" s="273">
        <v>13</v>
      </c>
      <c r="I64" s="258" t="str">
        <f t="shared" ca="1" si="14"/>
        <v>Pfalz</v>
      </c>
      <c r="J64" s="5" t="s">
        <v>16</v>
      </c>
      <c r="K64" s="228">
        <v>14</v>
      </c>
      <c r="L64" s="258" t="str">
        <f t="shared" ca="1" si="2"/>
        <v>Niedersachsen</v>
      </c>
      <c r="M64" s="257" t="s">
        <v>179</v>
      </c>
      <c r="N64" s="273">
        <v>2</v>
      </c>
      <c r="O64" s="258" t="str">
        <f t="shared" ca="1" si="3"/>
        <v>Baden</v>
      </c>
      <c r="P64" s="259" t="s">
        <v>376</v>
      </c>
      <c r="Q64" s="260">
        <v>15</v>
      </c>
      <c r="R64" s="261" t="s">
        <v>15</v>
      </c>
      <c r="S64" s="262">
        <v>46</v>
      </c>
      <c r="T64" s="263">
        <f t="shared" si="16"/>
        <v>0</v>
      </c>
      <c r="U64" s="5" t="s">
        <v>15</v>
      </c>
      <c r="V64" s="264">
        <f t="shared" si="17"/>
        <v>2</v>
      </c>
      <c r="W64" s="6"/>
      <c r="X64" s="5" t="s">
        <v>37</v>
      </c>
      <c r="Y64" s="5" t="s">
        <v>37</v>
      </c>
      <c r="Z64" s="14" t="s">
        <v>65</v>
      </c>
      <c r="AA64" s="14" t="s">
        <v>27</v>
      </c>
      <c r="AF64" s="360"/>
      <c r="AG64" s="361"/>
      <c r="AH64" s="360"/>
    </row>
    <row r="65" spans="1:34">
      <c r="A65" s="47"/>
      <c r="B65" s="47" t="str">
        <f t="shared" si="15"/>
        <v>m150203</v>
      </c>
      <c r="C65" s="6">
        <v>14</v>
      </c>
      <c r="D65" s="339">
        <f>+Daten!N17</f>
        <v>0.6215277777777779</v>
      </c>
      <c r="E65" s="6">
        <f t="shared" si="6"/>
        <v>42</v>
      </c>
      <c r="F65" s="6">
        <v>1</v>
      </c>
      <c r="G65" s="251" t="s">
        <v>178</v>
      </c>
      <c r="H65" s="11">
        <v>2</v>
      </c>
      <c r="I65" s="244" t="str">
        <f t="shared" ca="1" si="14"/>
        <v>Westfalen</v>
      </c>
      <c r="J65" s="7" t="s">
        <v>16</v>
      </c>
      <c r="K65" s="6">
        <v>3</v>
      </c>
      <c r="L65" s="244" t="str">
        <f t="shared" ca="1" si="2"/>
        <v>Baden</v>
      </c>
      <c r="M65" s="251" t="s">
        <v>178</v>
      </c>
      <c r="N65" s="11">
        <v>4</v>
      </c>
      <c r="O65" s="244" t="str">
        <f t="shared" ca="1" si="3"/>
        <v>Niedersachsen</v>
      </c>
      <c r="P65" s="252" t="s">
        <v>352</v>
      </c>
      <c r="Q65" s="253">
        <v>37</v>
      </c>
      <c r="R65" s="254" t="s">
        <v>15</v>
      </c>
      <c r="S65" s="255">
        <v>30</v>
      </c>
      <c r="T65" s="223">
        <f t="shared" si="16"/>
        <v>2</v>
      </c>
      <c r="U65" s="7" t="s">
        <v>15</v>
      </c>
      <c r="V65" s="8">
        <f t="shared" si="17"/>
        <v>0</v>
      </c>
      <c r="W65" s="6"/>
      <c r="X65" s="7" t="s">
        <v>37</v>
      </c>
      <c r="Y65" s="7" t="s">
        <v>37</v>
      </c>
      <c r="Z65" s="14" t="s">
        <v>65</v>
      </c>
      <c r="AA65" s="14" t="s">
        <v>27</v>
      </c>
      <c r="AF65" s="360"/>
      <c r="AG65" s="361"/>
      <c r="AH65" s="360"/>
    </row>
    <row r="66" spans="1:34">
      <c r="A66" s="47"/>
      <c r="B66" s="47" t="str">
        <f t="shared" si="15"/>
        <v>m151113</v>
      </c>
      <c r="C66" s="265">
        <v>14</v>
      </c>
      <c r="D66" s="339"/>
      <c r="E66" s="6">
        <f t="shared" si="6"/>
        <v>43</v>
      </c>
      <c r="F66" s="6">
        <v>2</v>
      </c>
      <c r="G66" s="251" t="s">
        <v>178</v>
      </c>
      <c r="H66" s="11">
        <v>11</v>
      </c>
      <c r="I66" s="244" t="str">
        <f t="shared" ca="1" si="14"/>
        <v>Sachsen</v>
      </c>
      <c r="J66" s="7" t="s">
        <v>16</v>
      </c>
      <c r="K66" s="11">
        <v>13</v>
      </c>
      <c r="L66" s="244" t="str">
        <f t="shared" ca="1" si="2"/>
        <v>Bremen</v>
      </c>
      <c r="M66" s="251" t="s">
        <v>179</v>
      </c>
      <c r="N66" s="11">
        <v>13</v>
      </c>
      <c r="O66" s="244" t="str">
        <f t="shared" ca="1" si="3"/>
        <v>Pfalz</v>
      </c>
      <c r="P66" s="252" t="s">
        <v>373</v>
      </c>
      <c r="Q66" s="253">
        <v>32</v>
      </c>
      <c r="R66" s="254" t="s">
        <v>15</v>
      </c>
      <c r="S66" s="255">
        <v>35</v>
      </c>
      <c r="T66" s="223">
        <f t="shared" si="16"/>
        <v>0</v>
      </c>
      <c r="U66" s="7" t="s">
        <v>15</v>
      </c>
      <c r="V66" s="8">
        <f t="shared" si="17"/>
        <v>2</v>
      </c>
      <c r="W66" s="58"/>
      <c r="X66" s="7" t="s">
        <v>37</v>
      </c>
      <c r="Y66" s="7" t="s">
        <v>37</v>
      </c>
      <c r="Z66" s="14" t="s">
        <v>66</v>
      </c>
      <c r="AA66" s="14" t="s">
        <v>27</v>
      </c>
      <c r="AF66" s="360"/>
      <c r="AG66" s="361"/>
      <c r="AH66" s="360"/>
    </row>
    <row r="67" spans="1:34">
      <c r="A67" s="47"/>
      <c r="B67" s="47" t="str">
        <f t="shared" si="15"/>
        <v>m151214</v>
      </c>
      <c r="C67" s="342">
        <v>14</v>
      </c>
      <c r="D67" s="340"/>
      <c r="E67" s="228">
        <f t="shared" si="6"/>
        <v>44</v>
      </c>
      <c r="F67" s="228">
        <v>3</v>
      </c>
      <c r="G67" s="257" t="s">
        <v>178</v>
      </c>
      <c r="H67" s="273">
        <v>12</v>
      </c>
      <c r="I67" s="258" t="str">
        <f t="shared" ca="1" si="14"/>
        <v>Schwaben</v>
      </c>
      <c r="J67" s="5" t="s">
        <v>16</v>
      </c>
      <c r="K67" s="273">
        <v>14</v>
      </c>
      <c r="L67" s="258" t="str">
        <f t="shared" ca="1" si="2"/>
        <v>Rheinland</v>
      </c>
      <c r="M67" s="257" t="s">
        <v>179</v>
      </c>
      <c r="N67" s="273">
        <v>14</v>
      </c>
      <c r="O67" s="258" t="str">
        <f t="shared" ca="1" si="3"/>
        <v>Niedersachsen</v>
      </c>
      <c r="P67" s="259" t="s">
        <v>377</v>
      </c>
      <c r="Q67" s="260">
        <v>43</v>
      </c>
      <c r="R67" s="261" t="s">
        <v>15</v>
      </c>
      <c r="S67" s="262">
        <v>20</v>
      </c>
      <c r="T67" s="263">
        <f t="shared" si="16"/>
        <v>2</v>
      </c>
      <c r="U67" s="5" t="s">
        <v>15</v>
      </c>
      <c r="V67" s="264">
        <f t="shared" si="17"/>
        <v>0</v>
      </c>
      <c r="W67" s="58"/>
      <c r="X67" s="5" t="s">
        <v>37</v>
      </c>
      <c r="Y67" s="5" t="s">
        <v>37</v>
      </c>
      <c r="Z67" s="14" t="s">
        <v>66</v>
      </c>
      <c r="AA67" s="14" t="s">
        <v>27</v>
      </c>
      <c r="AF67" s="360"/>
      <c r="AG67" s="360"/>
      <c r="AH67" s="360"/>
    </row>
    <row r="68" spans="1:34">
      <c r="A68" s="47"/>
      <c r="B68" s="47" t="str">
        <f t="shared" si="15"/>
        <v>m150405</v>
      </c>
      <c r="C68" s="6">
        <v>15</v>
      </c>
      <c r="D68" s="339">
        <f>+Daten!N18</f>
        <v>0.63888888888888906</v>
      </c>
      <c r="E68" s="6">
        <f t="shared" si="6"/>
        <v>45</v>
      </c>
      <c r="F68" s="6">
        <v>1</v>
      </c>
      <c r="G68" s="251" t="s">
        <v>178</v>
      </c>
      <c r="H68" s="11">
        <v>4</v>
      </c>
      <c r="I68" s="244" t="str">
        <f t="shared" ca="1" si="14"/>
        <v>Niedersachsen</v>
      </c>
      <c r="J68" s="7" t="s">
        <v>16</v>
      </c>
      <c r="K68" s="6">
        <v>5</v>
      </c>
      <c r="L68" s="244" t="str">
        <f t="shared" ca="1" si="2"/>
        <v>Pfalz</v>
      </c>
      <c r="M68" s="251" t="s">
        <v>178</v>
      </c>
      <c r="N68" s="11">
        <v>13</v>
      </c>
      <c r="O68" s="268" t="str">
        <f t="shared" ca="1" si="3"/>
        <v>Bremen</v>
      </c>
      <c r="P68" s="252" t="s">
        <v>372</v>
      </c>
      <c r="Q68" s="253">
        <v>33</v>
      </c>
      <c r="R68" s="254" t="s">
        <v>15</v>
      </c>
      <c r="S68" s="255">
        <v>37</v>
      </c>
      <c r="T68" s="223">
        <f t="shared" si="16"/>
        <v>0</v>
      </c>
      <c r="U68" s="7" t="s">
        <v>15</v>
      </c>
      <c r="V68" s="8">
        <f>IF(S68="","",IF(S68&gt;Q68,2,IF(S68&lt;Q68,0,1)))</f>
        <v>2</v>
      </c>
      <c r="W68" s="58"/>
      <c r="X68" s="7" t="s">
        <v>37</v>
      </c>
      <c r="Y68" s="7" t="s">
        <v>37</v>
      </c>
      <c r="Z68" s="14" t="s">
        <v>67</v>
      </c>
      <c r="AA68" s="60" t="s">
        <v>27</v>
      </c>
      <c r="AF68" s="360"/>
      <c r="AG68" s="361"/>
      <c r="AH68" s="360"/>
    </row>
    <row r="69" spans="1:34">
      <c r="A69" s="47"/>
      <c r="B69" s="47" t="str">
        <f t="shared" si="15"/>
        <v>w150103</v>
      </c>
      <c r="C69" s="265">
        <v>15</v>
      </c>
      <c r="D69" s="339"/>
      <c r="E69" s="6">
        <f t="shared" si="6"/>
        <v>46</v>
      </c>
      <c r="F69" s="6">
        <v>2</v>
      </c>
      <c r="G69" s="251" t="s">
        <v>179</v>
      </c>
      <c r="H69" s="11">
        <v>1</v>
      </c>
      <c r="I69" s="244" t="str">
        <f t="shared" ca="1" si="14"/>
        <v>Bremen</v>
      </c>
      <c r="J69" s="7" t="s">
        <v>16</v>
      </c>
      <c r="K69" s="6">
        <v>3</v>
      </c>
      <c r="L69" s="244" t="str">
        <f t="shared" ca="1" si="2"/>
        <v>Rheinland</v>
      </c>
      <c r="M69" s="251" t="s">
        <v>178</v>
      </c>
      <c r="N69" s="11">
        <v>1</v>
      </c>
      <c r="O69" s="268" t="str">
        <f t="shared" ca="1" si="3"/>
        <v>Berlin</v>
      </c>
      <c r="P69" s="252" t="s">
        <v>379</v>
      </c>
      <c r="Q69" s="253">
        <v>28</v>
      </c>
      <c r="R69" s="254" t="s">
        <v>15</v>
      </c>
      <c r="S69" s="255">
        <v>26</v>
      </c>
      <c r="T69" s="223">
        <f t="shared" si="16"/>
        <v>2</v>
      </c>
      <c r="U69" s="7" t="s">
        <v>15</v>
      </c>
      <c r="V69" s="8">
        <f t="shared" ref="V69:V83" si="18">IF(S69="","",IF(S69&gt;Q69,2,IF(S69&lt;Q69,0,1)))</f>
        <v>0</v>
      </c>
      <c r="W69" s="58"/>
      <c r="X69" s="7" t="s">
        <v>37</v>
      </c>
      <c r="Y69" s="7" t="s">
        <v>37</v>
      </c>
      <c r="Z69" s="14" t="s">
        <v>67</v>
      </c>
      <c r="AA69" s="60" t="s">
        <v>27</v>
      </c>
      <c r="AF69" s="360"/>
      <c r="AG69" s="361"/>
      <c r="AH69" s="360"/>
    </row>
    <row r="70" spans="1:34">
      <c r="A70" s="47"/>
      <c r="B70" s="47" t="str">
        <f t="shared" si="15"/>
        <v>w150204</v>
      </c>
      <c r="C70" s="256">
        <v>15</v>
      </c>
      <c r="D70" s="340"/>
      <c r="E70" s="228">
        <f t="shared" si="6"/>
        <v>47</v>
      </c>
      <c r="F70" s="228">
        <v>3</v>
      </c>
      <c r="G70" s="257" t="s">
        <v>179</v>
      </c>
      <c r="H70" s="273">
        <v>2</v>
      </c>
      <c r="I70" s="258" t="str">
        <f t="shared" ca="1" si="14"/>
        <v>Baden</v>
      </c>
      <c r="J70" s="5" t="s">
        <v>16</v>
      </c>
      <c r="K70" s="228">
        <v>4</v>
      </c>
      <c r="L70" s="258" t="str">
        <f t="shared" ca="1" si="2"/>
        <v>Berlin</v>
      </c>
      <c r="M70" s="257" t="s">
        <v>178</v>
      </c>
      <c r="N70" s="273">
        <v>14</v>
      </c>
      <c r="O70" s="266" t="str">
        <f t="shared" ca="1" si="3"/>
        <v>Rheinland</v>
      </c>
      <c r="P70" s="259" t="s">
        <v>346</v>
      </c>
      <c r="Q70" s="260">
        <v>28</v>
      </c>
      <c r="R70" s="261" t="s">
        <v>15</v>
      </c>
      <c r="S70" s="262">
        <v>33</v>
      </c>
      <c r="T70" s="263">
        <f t="shared" si="16"/>
        <v>0</v>
      </c>
      <c r="U70" s="5" t="s">
        <v>15</v>
      </c>
      <c r="V70" s="264">
        <f t="shared" si="18"/>
        <v>2</v>
      </c>
      <c r="W70" s="6"/>
      <c r="X70" s="5" t="s">
        <v>37</v>
      </c>
      <c r="Y70" s="5" t="s">
        <v>37</v>
      </c>
      <c r="Z70" s="14" t="s">
        <v>68</v>
      </c>
      <c r="AA70" s="60" t="s">
        <v>27</v>
      </c>
      <c r="AF70" s="360"/>
      <c r="AG70" s="361"/>
      <c r="AH70" s="360"/>
    </row>
    <row r="71" spans="1:34">
      <c r="A71" s="47"/>
      <c r="B71" s="47" t="str">
        <f t="shared" si="15"/>
        <v>m150103</v>
      </c>
      <c r="C71" s="6">
        <v>16</v>
      </c>
      <c r="D71" s="339">
        <f>+Daten!N19</f>
        <v>0.65625000000000022</v>
      </c>
      <c r="E71" s="6">
        <f t="shared" si="6"/>
        <v>48</v>
      </c>
      <c r="F71" s="6">
        <v>1</v>
      </c>
      <c r="G71" s="251" t="s">
        <v>178</v>
      </c>
      <c r="H71" s="11">
        <v>1</v>
      </c>
      <c r="I71" s="244" t="str">
        <f t="shared" ca="1" si="14"/>
        <v>Berlin</v>
      </c>
      <c r="J71" s="7" t="s">
        <v>16</v>
      </c>
      <c r="K71" s="6">
        <v>3</v>
      </c>
      <c r="L71" s="244" t="str">
        <f t="shared" ca="1" si="2"/>
        <v>Baden</v>
      </c>
      <c r="M71" s="251" t="s">
        <v>178</v>
      </c>
      <c r="N71" s="11">
        <v>2</v>
      </c>
      <c r="O71" s="268" t="str">
        <f t="shared" ca="1" si="3"/>
        <v>Westfalen</v>
      </c>
      <c r="P71" s="252" t="s">
        <v>374</v>
      </c>
      <c r="Q71" s="253">
        <v>31</v>
      </c>
      <c r="R71" s="254" t="s">
        <v>15</v>
      </c>
      <c r="S71" s="255">
        <v>40</v>
      </c>
      <c r="T71" s="223">
        <f t="shared" si="16"/>
        <v>0</v>
      </c>
      <c r="U71" s="7" t="s">
        <v>15</v>
      </c>
      <c r="V71" s="8">
        <f t="shared" si="18"/>
        <v>2</v>
      </c>
      <c r="W71" s="6"/>
      <c r="X71" s="7" t="s">
        <v>37</v>
      </c>
      <c r="Y71" s="7" t="s">
        <v>37</v>
      </c>
      <c r="Z71" s="14" t="s">
        <v>68</v>
      </c>
      <c r="AA71" s="60" t="s">
        <v>27</v>
      </c>
      <c r="AF71" s="360"/>
      <c r="AG71" s="360"/>
      <c r="AH71" s="360"/>
    </row>
    <row r="72" spans="1:34">
      <c r="A72" s="47"/>
      <c r="B72" s="47" t="str">
        <f t="shared" si="15"/>
        <v>w151113</v>
      </c>
      <c r="C72" s="265">
        <v>16</v>
      </c>
      <c r="D72" s="339"/>
      <c r="E72" s="6">
        <f>+E71+1</f>
        <v>49</v>
      </c>
      <c r="F72" s="6">
        <v>2</v>
      </c>
      <c r="G72" s="251" t="s">
        <v>179</v>
      </c>
      <c r="H72" s="11">
        <v>11</v>
      </c>
      <c r="I72" s="244" t="str">
        <f t="shared" ca="1" si="14"/>
        <v>Westfalen</v>
      </c>
      <c r="J72" s="7" t="s">
        <v>16</v>
      </c>
      <c r="K72" s="11">
        <v>13</v>
      </c>
      <c r="L72" s="244" t="str">
        <f t="shared" ca="1" si="2"/>
        <v>Pfalz</v>
      </c>
      <c r="M72" s="251" t="s">
        <v>179</v>
      </c>
      <c r="N72" s="11">
        <v>3</v>
      </c>
      <c r="O72" s="268" t="str">
        <f t="shared" ca="1" si="3"/>
        <v>Rheinland</v>
      </c>
      <c r="P72" s="252" t="s">
        <v>335</v>
      </c>
      <c r="Q72" s="253">
        <v>35</v>
      </c>
      <c r="R72" s="254" t="s">
        <v>15</v>
      </c>
      <c r="S72" s="255">
        <v>33</v>
      </c>
      <c r="T72" s="223">
        <f t="shared" si="16"/>
        <v>2</v>
      </c>
      <c r="U72" s="7" t="s">
        <v>15</v>
      </c>
      <c r="V72" s="8">
        <f t="shared" si="18"/>
        <v>0</v>
      </c>
      <c r="W72" s="58"/>
      <c r="X72" s="7" t="s">
        <v>37</v>
      </c>
      <c r="Y72" s="7" t="s">
        <v>37</v>
      </c>
      <c r="Z72" s="14" t="s">
        <v>69</v>
      </c>
      <c r="AA72" s="60" t="s">
        <v>27</v>
      </c>
      <c r="AF72" s="360"/>
      <c r="AG72" s="361"/>
      <c r="AH72" s="360"/>
    </row>
    <row r="73" spans="1:34">
      <c r="A73" s="47"/>
      <c r="B73" s="47" t="str">
        <f t="shared" si="15"/>
        <v>w151214</v>
      </c>
      <c r="C73" s="256">
        <v>16</v>
      </c>
      <c r="D73" s="340"/>
      <c r="E73" s="228">
        <f>+E72+1</f>
        <v>50</v>
      </c>
      <c r="F73" s="228">
        <v>3</v>
      </c>
      <c r="G73" s="257" t="s">
        <v>179</v>
      </c>
      <c r="H73" s="273">
        <v>12</v>
      </c>
      <c r="I73" s="258" t="str">
        <f t="shared" ca="1" si="14"/>
        <v>Schwaben</v>
      </c>
      <c r="J73" s="5" t="s">
        <v>16</v>
      </c>
      <c r="K73" s="273">
        <v>14</v>
      </c>
      <c r="L73" s="258" t="str">
        <f t="shared" ca="1" si="2"/>
        <v>Niedersachsen</v>
      </c>
      <c r="M73" s="257" t="s">
        <v>179</v>
      </c>
      <c r="N73" s="273">
        <v>4</v>
      </c>
      <c r="O73" s="258" t="str">
        <f t="shared" ca="1" si="3"/>
        <v>Berlin</v>
      </c>
      <c r="P73" s="259" t="s">
        <v>381</v>
      </c>
      <c r="Q73" s="260">
        <v>20</v>
      </c>
      <c r="R73" s="261" t="s">
        <v>15</v>
      </c>
      <c r="S73" s="262">
        <v>45</v>
      </c>
      <c r="T73" s="263">
        <f t="shared" si="16"/>
        <v>0</v>
      </c>
      <c r="U73" s="5" t="s">
        <v>15</v>
      </c>
      <c r="V73" s="264">
        <f t="shared" si="18"/>
        <v>2</v>
      </c>
      <c r="W73" s="58"/>
      <c r="X73" s="5" t="s">
        <v>37</v>
      </c>
      <c r="Y73" s="5" t="s">
        <v>37</v>
      </c>
      <c r="Z73" s="14" t="s">
        <v>69</v>
      </c>
      <c r="AA73" s="60" t="s">
        <v>27</v>
      </c>
      <c r="AF73" s="360"/>
      <c r="AG73" s="361"/>
      <c r="AH73" s="360"/>
    </row>
    <row r="74" spans="1:34">
      <c r="A74" s="47"/>
      <c r="B74" s="47" t="str">
        <f t="shared" si="15"/>
        <v>m150204</v>
      </c>
      <c r="C74" s="6">
        <v>17</v>
      </c>
      <c r="D74" s="339">
        <f>+Daten!N20</f>
        <v>0.67361111111111138</v>
      </c>
      <c r="E74" s="6">
        <f t="shared" si="6"/>
        <v>51</v>
      </c>
      <c r="F74" s="6">
        <v>1</v>
      </c>
      <c r="G74" s="251" t="s">
        <v>178</v>
      </c>
      <c r="H74" s="6">
        <v>2</v>
      </c>
      <c r="I74" s="244" t="str">
        <f t="shared" ca="1" si="14"/>
        <v>Westfalen</v>
      </c>
      <c r="J74" s="7" t="s">
        <v>16</v>
      </c>
      <c r="K74" s="6">
        <v>4</v>
      </c>
      <c r="L74" s="244" t="str">
        <f t="shared" ca="1" si="2"/>
        <v>Niedersachsen</v>
      </c>
      <c r="M74" s="251" t="s">
        <v>178</v>
      </c>
      <c r="N74" s="11">
        <v>5</v>
      </c>
      <c r="O74" s="244" t="str">
        <f t="shared" ca="1" si="3"/>
        <v>Pfalz</v>
      </c>
      <c r="P74" s="252" t="s">
        <v>378</v>
      </c>
      <c r="Q74" s="253">
        <v>34</v>
      </c>
      <c r="R74" s="254" t="s">
        <v>15</v>
      </c>
      <c r="S74" s="255">
        <v>33</v>
      </c>
      <c r="T74" s="223">
        <f t="shared" si="16"/>
        <v>2</v>
      </c>
      <c r="U74" s="7" t="s">
        <v>15</v>
      </c>
      <c r="V74" s="8">
        <f t="shared" si="18"/>
        <v>0</v>
      </c>
      <c r="W74" s="58"/>
      <c r="X74" s="7" t="s">
        <v>37</v>
      </c>
      <c r="Y74" s="7" t="s">
        <v>37</v>
      </c>
      <c r="Z74" s="14" t="s">
        <v>70</v>
      </c>
      <c r="AA74" s="60" t="s">
        <v>27</v>
      </c>
      <c r="AF74" s="360"/>
      <c r="AG74" s="361"/>
      <c r="AH74" s="360"/>
    </row>
    <row r="75" spans="1:34">
      <c r="A75" s="47"/>
      <c r="B75" s="47" t="str">
        <f t="shared" si="15"/>
        <v>m151114</v>
      </c>
      <c r="C75" s="265">
        <v>17</v>
      </c>
      <c r="D75" s="339"/>
      <c r="E75" s="6">
        <f t="shared" si="6"/>
        <v>52</v>
      </c>
      <c r="F75" s="6">
        <v>2</v>
      </c>
      <c r="G75" s="251" t="s">
        <v>178</v>
      </c>
      <c r="H75" s="6">
        <v>11</v>
      </c>
      <c r="I75" s="244" t="str">
        <f t="shared" ca="1" si="14"/>
        <v>Sachsen</v>
      </c>
      <c r="J75" s="7" t="s">
        <v>16</v>
      </c>
      <c r="K75" s="11">
        <v>14</v>
      </c>
      <c r="L75" s="244" t="str">
        <f t="shared" ca="1" si="2"/>
        <v>Rheinland</v>
      </c>
      <c r="M75" s="251" t="s">
        <v>179</v>
      </c>
      <c r="N75" s="11">
        <v>11</v>
      </c>
      <c r="O75" s="244" t="str">
        <f t="shared" ca="1" si="3"/>
        <v>Westfalen</v>
      </c>
      <c r="P75" s="252" t="s">
        <v>380</v>
      </c>
      <c r="Q75" s="253">
        <v>35</v>
      </c>
      <c r="R75" s="254" t="s">
        <v>15</v>
      </c>
      <c r="S75" s="255">
        <v>22</v>
      </c>
      <c r="T75" s="223">
        <f t="shared" si="16"/>
        <v>2</v>
      </c>
      <c r="U75" s="7" t="s">
        <v>15</v>
      </c>
      <c r="V75" s="8">
        <f t="shared" si="18"/>
        <v>0</v>
      </c>
      <c r="W75" s="58"/>
      <c r="X75" s="7" t="s">
        <v>37</v>
      </c>
      <c r="Y75" s="7" t="s">
        <v>37</v>
      </c>
      <c r="Z75" s="14" t="s">
        <v>70</v>
      </c>
      <c r="AA75" s="60" t="s">
        <v>27</v>
      </c>
      <c r="AF75" s="360"/>
      <c r="AG75" s="360"/>
      <c r="AH75" s="360"/>
    </row>
    <row r="76" spans="1:34">
      <c r="A76" s="47"/>
      <c r="B76" s="47" t="str">
        <f t="shared" si="15"/>
        <v>m151213</v>
      </c>
      <c r="C76" s="256">
        <v>17</v>
      </c>
      <c r="D76" s="340"/>
      <c r="E76" s="228">
        <f>+E75+1</f>
        <v>53</v>
      </c>
      <c r="F76" s="228">
        <v>3</v>
      </c>
      <c r="G76" s="257" t="s">
        <v>178</v>
      </c>
      <c r="H76" s="228">
        <v>12</v>
      </c>
      <c r="I76" s="258" t="str">
        <f t="shared" ca="1" si="14"/>
        <v>Schwaben</v>
      </c>
      <c r="J76" s="5" t="s">
        <v>16</v>
      </c>
      <c r="K76" s="273">
        <v>13</v>
      </c>
      <c r="L76" s="258" t="str">
        <f t="shared" ca="1" si="2"/>
        <v>Bremen</v>
      </c>
      <c r="M76" s="257" t="s">
        <v>179</v>
      </c>
      <c r="N76" s="273">
        <v>12</v>
      </c>
      <c r="O76" s="258" t="str">
        <f t="shared" ca="1" si="3"/>
        <v>Schwaben</v>
      </c>
      <c r="P76" s="259" t="s">
        <v>344</v>
      </c>
      <c r="Q76" s="260">
        <v>42</v>
      </c>
      <c r="R76" s="261" t="s">
        <v>15</v>
      </c>
      <c r="S76" s="262">
        <v>28</v>
      </c>
      <c r="T76" s="263">
        <f t="shared" si="16"/>
        <v>2</v>
      </c>
      <c r="U76" s="5" t="s">
        <v>15</v>
      </c>
      <c r="V76" s="264">
        <f t="shared" si="18"/>
        <v>0</v>
      </c>
      <c r="W76" s="6"/>
      <c r="X76" s="5" t="s">
        <v>37</v>
      </c>
      <c r="Y76" s="5" t="s">
        <v>37</v>
      </c>
      <c r="Z76" s="14" t="s">
        <v>71</v>
      </c>
      <c r="AA76" s="60" t="s">
        <v>27</v>
      </c>
      <c r="AF76" s="360"/>
      <c r="AG76" s="361"/>
      <c r="AH76" s="360"/>
    </row>
    <row r="77" spans="1:34">
      <c r="A77" s="12"/>
      <c r="B77" s="12" t="str">
        <f t="shared" si="15"/>
        <v>m150305</v>
      </c>
      <c r="C77" s="6">
        <v>18</v>
      </c>
      <c r="D77" s="339">
        <f>+Daten!N21</f>
        <v>0.69097222222222254</v>
      </c>
      <c r="E77" s="6">
        <f>+E76+1</f>
        <v>54</v>
      </c>
      <c r="F77" s="6">
        <v>1</v>
      </c>
      <c r="G77" s="251" t="s">
        <v>178</v>
      </c>
      <c r="H77" s="6">
        <v>3</v>
      </c>
      <c r="I77" s="244" t="str">
        <f t="shared" ca="1" si="14"/>
        <v>Baden</v>
      </c>
      <c r="J77" s="7" t="s">
        <v>16</v>
      </c>
      <c r="K77" s="6">
        <v>5</v>
      </c>
      <c r="L77" s="244" t="str">
        <f t="shared" ca="1" si="2"/>
        <v>Pfalz</v>
      </c>
      <c r="M77" s="251" t="s">
        <v>178</v>
      </c>
      <c r="N77" s="11">
        <v>1</v>
      </c>
      <c r="O77" s="268" t="str">
        <f t="shared" ca="1" si="3"/>
        <v>Berlin</v>
      </c>
      <c r="P77" s="252" t="s">
        <v>372</v>
      </c>
      <c r="Q77" s="253">
        <v>38</v>
      </c>
      <c r="R77" s="254" t="s">
        <v>15</v>
      </c>
      <c r="S77" s="255">
        <v>34</v>
      </c>
      <c r="T77" s="223">
        <f t="shared" si="16"/>
        <v>2</v>
      </c>
      <c r="U77" s="7" t="s">
        <v>15</v>
      </c>
      <c r="V77" s="8">
        <f t="shared" si="18"/>
        <v>0</v>
      </c>
      <c r="W77" s="6"/>
      <c r="X77" s="7" t="s">
        <v>37</v>
      </c>
      <c r="Y77" s="7" t="s">
        <v>37</v>
      </c>
      <c r="Z77" s="14" t="s">
        <v>71</v>
      </c>
      <c r="AA77" s="60" t="s">
        <v>27</v>
      </c>
      <c r="AF77" s="360"/>
      <c r="AG77" s="361"/>
      <c r="AH77" s="360"/>
    </row>
    <row r="78" spans="1:34">
      <c r="A78" s="12"/>
      <c r="B78" s="12" t="str">
        <f t="shared" si="15"/>
        <v>w150104</v>
      </c>
      <c r="C78" s="265">
        <v>18</v>
      </c>
      <c r="D78" s="339"/>
      <c r="E78" s="6">
        <f t="shared" si="6"/>
        <v>55</v>
      </c>
      <c r="F78" s="6">
        <v>2</v>
      </c>
      <c r="G78" s="251" t="s">
        <v>179</v>
      </c>
      <c r="H78" s="6">
        <v>1</v>
      </c>
      <c r="I78" s="244" t="str">
        <f t="shared" ca="1" si="14"/>
        <v>Bremen</v>
      </c>
      <c r="J78" s="7" t="s">
        <v>16</v>
      </c>
      <c r="K78" s="6">
        <v>4</v>
      </c>
      <c r="L78" s="244" t="str">
        <f t="shared" ca="1" si="2"/>
        <v>Berlin</v>
      </c>
      <c r="M78" s="251" t="s">
        <v>178</v>
      </c>
      <c r="N78" s="11">
        <v>12</v>
      </c>
      <c r="O78" s="268" t="str">
        <f t="shared" ca="1" si="3"/>
        <v>Schwaben</v>
      </c>
      <c r="P78" s="252" t="s">
        <v>341</v>
      </c>
      <c r="Q78" s="253">
        <v>38</v>
      </c>
      <c r="R78" s="254" t="s">
        <v>15</v>
      </c>
      <c r="S78" s="255">
        <v>19</v>
      </c>
      <c r="T78" s="223">
        <f t="shared" si="16"/>
        <v>2</v>
      </c>
      <c r="U78" s="7" t="s">
        <v>15</v>
      </c>
      <c r="V78" s="8">
        <f t="shared" si="18"/>
        <v>0</v>
      </c>
      <c r="W78" s="58"/>
      <c r="X78" s="7" t="s">
        <v>37</v>
      </c>
      <c r="Y78" s="7" t="s">
        <v>37</v>
      </c>
      <c r="Z78" s="14" t="s">
        <v>72</v>
      </c>
      <c r="AA78" s="60" t="s">
        <v>27</v>
      </c>
      <c r="AF78" s="360"/>
      <c r="AG78" s="361"/>
      <c r="AH78" s="360"/>
    </row>
    <row r="79" spans="1:34">
      <c r="A79" s="47"/>
      <c r="B79" s="47" t="str">
        <f t="shared" si="15"/>
        <v>w150203</v>
      </c>
      <c r="C79" s="256">
        <v>18</v>
      </c>
      <c r="D79" s="340"/>
      <c r="E79" s="228">
        <f t="shared" si="6"/>
        <v>56</v>
      </c>
      <c r="F79" s="228">
        <v>3</v>
      </c>
      <c r="G79" s="257" t="s">
        <v>179</v>
      </c>
      <c r="H79" s="228">
        <v>2</v>
      </c>
      <c r="I79" s="258" t="str">
        <f t="shared" ca="1" si="14"/>
        <v>Baden</v>
      </c>
      <c r="J79" s="5" t="s">
        <v>16</v>
      </c>
      <c r="K79" s="228">
        <v>3</v>
      </c>
      <c r="L79" s="258" t="str">
        <f t="shared" ca="1" si="2"/>
        <v>Rheinland</v>
      </c>
      <c r="M79" s="257" t="s">
        <v>178</v>
      </c>
      <c r="N79" s="273">
        <v>11</v>
      </c>
      <c r="O79" s="266" t="str">
        <f t="shared" ca="1" si="3"/>
        <v>Sachsen</v>
      </c>
      <c r="P79" s="259" t="s">
        <v>382</v>
      </c>
      <c r="Q79" s="260">
        <v>24</v>
      </c>
      <c r="R79" s="261" t="s">
        <v>15</v>
      </c>
      <c r="S79" s="262">
        <v>35</v>
      </c>
      <c r="T79" s="263">
        <f t="shared" si="16"/>
        <v>0</v>
      </c>
      <c r="U79" s="5" t="s">
        <v>15</v>
      </c>
      <c r="V79" s="264">
        <f t="shared" si="18"/>
        <v>2</v>
      </c>
      <c r="W79" s="58"/>
      <c r="X79" s="5" t="s">
        <v>37</v>
      </c>
      <c r="Y79" s="5" t="s">
        <v>37</v>
      </c>
      <c r="Z79" s="14" t="s">
        <v>72</v>
      </c>
      <c r="AA79" s="60" t="s">
        <v>27</v>
      </c>
      <c r="AF79" s="360"/>
      <c r="AG79" s="360"/>
      <c r="AH79" s="360"/>
    </row>
    <row r="80" spans="1:34">
      <c r="A80" s="47"/>
      <c r="B80" s="47" t="str">
        <f t="shared" si="15"/>
        <v>m150104</v>
      </c>
      <c r="C80" s="6">
        <v>19</v>
      </c>
      <c r="D80" s="339">
        <f>+Daten!N22</f>
        <v>0.7083333333333337</v>
      </c>
      <c r="E80" s="6">
        <f t="shared" si="6"/>
        <v>57</v>
      </c>
      <c r="F80" s="6">
        <v>1</v>
      </c>
      <c r="G80" s="251" t="s">
        <v>178</v>
      </c>
      <c r="H80" s="6">
        <v>1</v>
      </c>
      <c r="I80" s="244" t="str">
        <f t="shared" ca="1" si="14"/>
        <v>Berlin</v>
      </c>
      <c r="J80" s="7" t="s">
        <v>16</v>
      </c>
      <c r="K80" s="6">
        <v>4</v>
      </c>
      <c r="L80" s="244" t="str">
        <f t="shared" ca="1" si="2"/>
        <v>Niedersachsen</v>
      </c>
      <c r="M80" s="251" t="s">
        <v>178</v>
      </c>
      <c r="N80" s="11">
        <v>3</v>
      </c>
      <c r="O80" s="268" t="str">
        <f t="shared" ca="1" si="3"/>
        <v>Baden</v>
      </c>
      <c r="P80" s="252" t="s">
        <v>367</v>
      </c>
      <c r="Q80" s="253">
        <v>34</v>
      </c>
      <c r="R80" s="254" t="s">
        <v>15</v>
      </c>
      <c r="S80" s="255">
        <v>39</v>
      </c>
      <c r="T80" s="223">
        <f t="shared" si="16"/>
        <v>0</v>
      </c>
      <c r="U80" s="7" t="s">
        <v>15</v>
      </c>
      <c r="V80" s="8">
        <f t="shared" si="18"/>
        <v>2</v>
      </c>
      <c r="W80" s="58"/>
      <c r="X80" s="7" t="s">
        <v>37</v>
      </c>
      <c r="Y80" s="7" t="s">
        <v>37</v>
      </c>
      <c r="Z80" s="14" t="s">
        <v>73</v>
      </c>
      <c r="AA80" s="14" t="s">
        <v>27</v>
      </c>
      <c r="AF80" s="360"/>
      <c r="AG80" s="361"/>
      <c r="AH80" s="360"/>
    </row>
    <row r="81" spans="1:34">
      <c r="A81" s="47"/>
      <c r="B81" s="47" t="str">
        <f t="shared" si="15"/>
        <v>w151114</v>
      </c>
      <c r="C81" s="265">
        <v>19</v>
      </c>
      <c r="D81" s="339"/>
      <c r="E81" s="6">
        <f t="shared" si="6"/>
        <v>58</v>
      </c>
      <c r="F81" s="6">
        <v>2</v>
      </c>
      <c r="G81" s="251" t="s">
        <v>179</v>
      </c>
      <c r="H81" s="6">
        <v>11</v>
      </c>
      <c r="I81" s="244" t="str">
        <f t="shared" ca="1" si="14"/>
        <v>Westfalen</v>
      </c>
      <c r="J81" s="7" t="s">
        <v>16</v>
      </c>
      <c r="K81" s="6">
        <v>14</v>
      </c>
      <c r="L81" s="244" t="str">
        <f t="shared" ca="1" si="2"/>
        <v>Niedersachsen</v>
      </c>
      <c r="M81" s="251" t="s">
        <v>179</v>
      </c>
      <c r="N81" s="11">
        <v>1</v>
      </c>
      <c r="O81" s="268" t="str">
        <f t="shared" ca="1" si="3"/>
        <v>Bremen</v>
      </c>
      <c r="P81" s="252" t="s">
        <v>383</v>
      </c>
      <c r="Q81" s="253">
        <v>25</v>
      </c>
      <c r="R81" s="254" t="s">
        <v>15</v>
      </c>
      <c r="S81" s="255">
        <v>37</v>
      </c>
      <c r="T81" s="223">
        <f t="shared" si="16"/>
        <v>0</v>
      </c>
      <c r="U81" s="7" t="s">
        <v>15</v>
      </c>
      <c r="V81" s="8">
        <f t="shared" si="18"/>
        <v>2</v>
      </c>
      <c r="W81" s="58"/>
      <c r="X81" s="7" t="s">
        <v>37</v>
      </c>
      <c r="Y81" s="7" t="s">
        <v>37</v>
      </c>
      <c r="Z81" s="14" t="s">
        <v>73</v>
      </c>
      <c r="AA81" s="14" t="s">
        <v>27</v>
      </c>
      <c r="AF81" s="360"/>
      <c r="AG81" s="361"/>
      <c r="AH81" s="360"/>
    </row>
    <row r="82" spans="1:34">
      <c r="A82" s="47"/>
      <c r="B82" s="47" t="str">
        <f t="shared" si="15"/>
        <v>w151213</v>
      </c>
      <c r="C82" s="256">
        <v>19</v>
      </c>
      <c r="D82" s="340"/>
      <c r="E82" s="228">
        <f t="shared" si="6"/>
        <v>59</v>
      </c>
      <c r="F82" s="228">
        <v>3</v>
      </c>
      <c r="G82" s="257" t="s">
        <v>179</v>
      </c>
      <c r="H82" s="228">
        <v>12</v>
      </c>
      <c r="I82" s="258" t="str">
        <f t="shared" ca="1" si="14"/>
        <v>Schwaben</v>
      </c>
      <c r="J82" s="5" t="s">
        <v>16</v>
      </c>
      <c r="K82" s="228">
        <v>13</v>
      </c>
      <c r="L82" s="258" t="str">
        <f t="shared" ca="1" si="2"/>
        <v>Pfalz</v>
      </c>
      <c r="M82" s="257" t="s">
        <v>179</v>
      </c>
      <c r="N82" s="273">
        <v>2</v>
      </c>
      <c r="O82" s="266" t="str">
        <f t="shared" ca="1" si="3"/>
        <v>Baden</v>
      </c>
      <c r="P82" s="259" t="s">
        <v>384</v>
      </c>
      <c r="Q82" s="260">
        <v>32</v>
      </c>
      <c r="R82" s="261" t="s">
        <v>15</v>
      </c>
      <c r="S82" s="262">
        <v>36</v>
      </c>
      <c r="T82" s="263">
        <f t="shared" si="16"/>
        <v>0</v>
      </c>
      <c r="U82" s="5" t="s">
        <v>15</v>
      </c>
      <c r="V82" s="264">
        <f t="shared" si="18"/>
        <v>2</v>
      </c>
      <c r="W82" s="6"/>
      <c r="X82" s="5" t="s">
        <v>37</v>
      </c>
      <c r="Y82" s="5" t="s">
        <v>37</v>
      </c>
      <c r="Z82" s="14" t="s">
        <v>74</v>
      </c>
      <c r="AA82" s="14" t="s">
        <v>27</v>
      </c>
      <c r="AF82" s="360"/>
      <c r="AG82" s="361"/>
      <c r="AH82" s="360"/>
    </row>
    <row r="83" spans="1:34">
      <c r="A83" s="47"/>
      <c r="B83" s="47" t="str">
        <f t="shared" si="15"/>
        <v>m150205</v>
      </c>
      <c r="C83" s="228">
        <v>20</v>
      </c>
      <c r="D83" s="362">
        <f>+Daten!N23</f>
        <v>0.72569444444444486</v>
      </c>
      <c r="E83" s="228">
        <f t="shared" si="6"/>
        <v>60</v>
      </c>
      <c r="F83" s="228">
        <v>1</v>
      </c>
      <c r="G83" s="257" t="s">
        <v>178</v>
      </c>
      <c r="H83" s="228">
        <v>2</v>
      </c>
      <c r="I83" s="258" t="str">
        <f t="shared" ca="1" si="14"/>
        <v>Westfalen</v>
      </c>
      <c r="J83" s="5" t="s">
        <v>16</v>
      </c>
      <c r="K83" s="228">
        <v>5</v>
      </c>
      <c r="L83" s="258" t="str">
        <f t="shared" ca="1" si="2"/>
        <v>Pfalz</v>
      </c>
      <c r="M83" s="257" t="s">
        <v>178</v>
      </c>
      <c r="N83" s="273">
        <v>4</v>
      </c>
      <c r="O83" s="266" t="str">
        <f t="shared" ca="1" si="3"/>
        <v>Niedersachsen</v>
      </c>
      <c r="P83" s="259" t="s">
        <v>345</v>
      </c>
      <c r="Q83" s="260">
        <v>37</v>
      </c>
      <c r="R83" s="261" t="s">
        <v>15</v>
      </c>
      <c r="S83" s="262">
        <v>27</v>
      </c>
      <c r="T83" s="263">
        <f t="shared" si="16"/>
        <v>2</v>
      </c>
      <c r="U83" s="5" t="s">
        <v>15</v>
      </c>
      <c r="V83" s="264">
        <f t="shared" si="18"/>
        <v>0</v>
      </c>
      <c r="W83" s="6"/>
      <c r="X83" s="5" t="s">
        <v>37</v>
      </c>
      <c r="Y83" s="5" t="s">
        <v>37</v>
      </c>
      <c r="Z83" s="14" t="s">
        <v>74</v>
      </c>
      <c r="AA83" s="14" t="s">
        <v>27</v>
      </c>
      <c r="AF83" s="360"/>
      <c r="AG83" s="360"/>
      <c r="AH83" s="360"/>
    </row>
    <row r="84" spans="1:34" hidden="1" outlineLevel="1">
      <c r="A84" s="47"/>
      <c r="B84" s="47" t="str">
        <f t="shared" si="15"/>
        <v>0000</v>
      </c>
      <c r="C84" s="6">
        <v>19</v>
      </c>
      <c r="D84" s="339">
        <f>+Daten!N24</f>
        <v>0.74305555555555602</v>
      </c>
      <c r="E84" s="6">
        <f t="shared" si="6"/>
        <v>61</v>
      </c>
      <c r="F84" s="6">
        <v>1</v>
      </c>
      <c r="G84" s="251"/>
      <c r="H84" s="6"/>
      <c r="I84" s="244" t="e">
        <f t="shared" ref="I84:I87" ca="1" si="19">INDIRECT(ADDRESS(MATCH(H84,$A$1:$A$21,0),MATCH(G84,$A$3:$AE$3,0)))</f>
        <v>#N/A</v>
      </c>
      <c r="J84" s="7" t="s">
        <v>16</v>
      </c>
      <c r="K84" s="6"/>
      <c r="L84" s="244" t="e">
        <f t="shared" ref="L84:L87" ca="1" si="20">INDIRECT(ADDRESS(MATCH(K84,$A$1:$A$21,0),MATCH(G84,$A$3:$AE$3,0)))</f>
        <v>#N/A</v>
      </c>
      <c r="M84" s="251" t="s">
        <v>178</v>
      </c>
      <c r="N84" s="11"/>
      <c r="O84" s="268" t="e">
        <f t="shared" ref="O84:O87" ca="1" si="21">INDIRECT(ADDRESS(MATCH(N84,$A$1:$A$21,0),MATCH(M84,$A$3:$AE$3,0)))</f>
        <v>#N/A</v>
      </c>
      <c r="P84" s="252"/>
      <c r="Q84" s="253"/>
      <c r="R84" s="254" t="s">
        <v>15</v>
      </c>
      <c r="S84" s="255"/>
      <c r="T84" s="223" t="str">
        <f t="shared" si="10"/>
        <v/>
      </c>
      <c r="U84" s="7" t="s">
        <v>15</v>
      </c>
      <c r="V84" s="8" t="str">
        <f t="shared" si="11"/>
        <v/>
      </c>
      <c r="W84" s="58"/>
      <c r="X84" s="7" t="s">
        <v>37</v>
      </c>
      <c r="Y84" s="7" t="s">
        <v>37</v>
      </c>
      <c r="Z84" s="14" t="s">
        <v>75</v>
      </c>
      <c r="AA84" s="14" t="s">
        <v>27</v>
      </c>
      <c r="AF84" s="360"/>
      <c r="AG84" s="361"/>
      <c r="AH84" s="360"/>
    </row>
    <row r="85" spans="1:34" hidden="1" outlineLevel="1">
      <c r="A85" s="47"/>
      <c r="B85" s="47" t="str">
        <f t="shared" si="15"/>
        <v>0000</v>
      </c>
      <c r="C85" s="265">
        <v>21</v>
      </c>
      <c r="D85" s="339"/>
      <c r="E85" s="6">
        <f t="shared" si="6"/>
        <v>62</v>
      </c>
      <c r="F85" s="6">
        <v>2</v>
      </c>
      <c r="G85" s="251"/>
      <c r="H85" s="6"/>
      <c r="I85" s="244" t="e">
        <f t="shared" ca="1" si="19"/>
        <v>#N/A</v>
      </c>
      <c r="J85" s="7" t="s">
        <v>16</v>
      </c>
      <c r="K85" s="6"/>
      <c r="L85" s="244" t="e">
        <f t="shared" ca="1" si="20"/>
        <v>#N/A</v>
      </c>
      <c r="M85" s="251" t="s">
        <v>179</v>
      </c>
      <c r="N85" s="11"/>
      <c r="O85" s="268" t="e">
        <f t="shared" ca="1" si="21"/>
        <v>#N/A</v>
      </c>
      <c r="P85" s="252"/>
      <c r="Q85" s="253"/>
      <c r="R85" s="254" t="s">
        <v>15</v>
      </c>
      <c r="S85" s="255"/>
      <c r="T85" s="223" t="str">
        <f t="shared" si="10"/>
        <v/>
      </c>
      <c r="U85" s="7" t="s">
        <v>15</v>
      </c>
      <c r="V85" s="8" t="str">
        <f t="shared" si="11"/>
        <v/>
      </c>
      <c r="W85" s="58"/>
      <c r="X85" s="7" t="s">
        <v>37</v>
      </c>
      <c r="Y85" s="7" t="s">
        <v>37</v>
      </c>
      <c r="Z85" s="14" t="s">
        <v>75</v>
      </c>
      <c r="AA85" s="14" t="s">
        <v>27</v>
      </c>
      <c r="AF85" s="360"/>
      <c r="AG85" s="361"/>
      <c r="AH85" s="360"/>
    </row>
    <row r="86" spans="1:34" hidden="1" outlineLevel="1">
      <c r="A86" s="47"/>
      <c r="B86" s="47" t="str">
        <f t="shared" si="15"/>
        <v>0000</v>
      </c>
      <c r="C86" s="256">
        <v>21</v>
      </c>
      <c r="D86" s="340"/>
      <c r="E86" s="228">
        <f t="shared" si="6"/>
        <v>63</v>
      </c>
      <c r="F86" s="228">
        <v>3</v>
      </c>
      <c r="G86" s="257"/>
      <c r="H86" s="228"/>
      <c r="I86" s="258" t="e">
        <f t="shared" ca="1" si="19"/>
        <v>#N/A</v>
      </c>
      <c r="J86" s="5" t="s">
        <v>16</v>
      </c>
      <c r="K86" s="228"/>
      <c r="L86" s="258" t="e">
        <f t="shared" ca="1" si="20"/>
        <v>#N/A</v>
      </c>
      <c r="M86" s="257" t="s">
        <v>179</v>
      </c>
      <c r="N86" s="273"/>
      <c r="O86" s="266" t="e">
        <f t="shared" ca="1" si="21"/>
        <v>#N/A</v>
      </c>
      <c r="P86" s="259"/>
      <c r="Q86" s="260"/>
      <c r="R86" s="261" t="s">
        <v>15</v>
      </c>
      <c r="S86" s="262"/>
      <c r="T86" s="263" t="str">
        <f t="shared" si="10"/>
        <v/>
      </c>
      <c r="U86" s="5" t="s">
        <v>15</v>
      </c>
      <c r="V86" s="264" t="str">
        <f t="shared" si="11"/>
        <v/>
      </c>
      <c r="W86" s="6"/>
      <c r="X86" s="5" t="s">
        <v>37</v>
      </c>
      <c r="Y86" s="5" t="s">
        <v>37</v>
      </c>
      <c r="Z86" s="14" t="s">
        <v>76</v>
      </c>
      <c r="AA86" s="14" t="s">
        <v>27</v>
      </c>
      <c r="AF86" s="360"/>
      <c r="AG86" s="361"/>
      <c r="AH86" s="360"/>
    </row>
    <row r="87" spans="1:34" hidden="1" outlineLevel="1">
      <c r="A87" s="47"/>
      <c r="B87" s="47" t="str">
        <f t="shared" si="15"/>
        <v>0000</v>
      </c>
      <c r="C87" s="228">
        <v>20</v>
      </c>
      <c r="D87" s="340">
        <f>+Daten!N25</f>
        <v>0.76041666666666718</v>
      </c>
      <c r="E87" s="228">
        <f t="shared" si="6"/>
        <v>64</v>
      </c>
      <c r="F87" s="228">
        <v>1</v>
      </c>
      <c r="G87" s="257"/>
      <c r="H87" s="228"/>
      <c r="I87" s="258" t="e">
        <f t="shared" ca="1" si="19"/>
        <v>#N/A</v>
      </c>
      <c r="J87" s="5" t="s">
        <v>16</v>
      </c>
      <c r="K87" s="228"/>
      <c r="L87" s="258" t="e">
        <f t="shared" ca="1" si="20"/>
        <v>#N/A</v>
      </c>
      <c r="M87" s="257" t="s">
        <v>178</v>
      </c>
      <c r="N87" s="273"/>
      <c r="O87" s="266" t="e">
        <f t="shared" ca="1" si="21"/>
        <v>#N/A</v>
      </c>
      <c r="P87" s="259"/>
      <c r="Q87" s="260"/>
      <c r="R87" s="261" t="s">
        <v>15</v>
      </c>
      <c r="S87" s="262"/>
      <c r="T87" s="263" t="str">
        <f t="shared" si="10"/>
        <v/>
      </c>
      <c r="U87" s="5" t="s">
        <v>15</v>
      </c>
      <c r="V87" s="264" t="str">
        <f t="shared" si="11"/>
        <v/>
      </c>
      <c r="W87" s="6"/>
      <c r="X87" s="5" t="s">
        <v>37</v>
      </c>
      <c r="Y87" s="5" t="s">
        <v>37</v>
      </c>
      <c r="Z87" s="14" t="s">
        <v>76</v>
      </c>
      <c r="AA87" s="14" t="s">
        <v>27</v>
      </c>
      <c r="AF87" s="360"/>
      <c r="AG87" s="360"/>
      <c r="AH87" s="360"/>
    </row>
    <row r="88" spans="1:34" hidden="1" outlineLevel="1">
      <c r="A88" s="47"/>
      <c r="B88" s="47" t="str">
        <f t="shared" ref="B88:B123" si="22">G88&amp;TEXT(H88,"00")&amp;TEXT(K88,"00")</f>
        <v>0000</v>
      </c>
      <c r="C88" s="265">
        <v>22</v>
      </c>
      <c r="D88" s="339"/>
      <c r="E88" s="6">
        <f t="shared" si="6"/>
        <v>65</v>
      </c>
      <c r="F88" s="6">
        <v>2</v>
      </c>
      <c r="G88" s="251"/>
      <c r="H88" s="6"/>
      <c r="I88" s="244" t="e">
        <f t="shared" ref="I88:I97" ca="1" si="23">INDIRECT(ADDRESS(MATCH(H88,$A$1:$A$21,0),MATCH(G88,$A$3:$AE$3,0)))</f>
        <v>#N/A</v>
      </c>
      <c r="J88" s="7" t="s">
        <v>16</v>
      </c>
      <c r="K88" s="6"/>
      <c r="L88" s="244" t="e">
        <f t="shared" ref="L88:L97" ca="1" si="24">INDIRECT(ADDRESS(MATCH(K88,$A$1:$A$21,0),MATCH(G88,$A$3:$AE$3,0)))</f>
        <v>#N/A</v>
      </c>
      <c r="M88" s="251"/>
      <c r="N88" s="11"/>
      <c r="O88" s="268" t="e">
        <f t="shared" ref="O88:O97" ca="1" si="25">INDIRECT(ADDRESS(MATCH(N88,$A$1:$A$21,0),MATCH(M88,$A$3:$AE$3,0)))</f>
        <v>#N/A</v>
      </c>
      <c r="P88" s="252"/>
      <c r="Q88" s="253"/>
      <c r="R88" s="254" t="s">
        <v>15</v>
      </c>
      <c r="S88" s="255"/>
      <c r="T88" s="223" t="str">
        <f t="shared" si="10"/>
        <v/>
      </c>
      <c r="U88" s="7" t="s">
        <v>15</v>
      </c>
      <c r="V88" s="8" t="str">
        <f t="shared" si="11"/>
        <v/>
      </c>
      <c r="W88" s="58"/>
      <c r="X88" s="7" t="s">
        <v>37</v>
      </c>
      <c r="Y88" s="7" t="s">
        <v>37</v>
      </c>
      <c r="Z88" s="14" t="s">
        <v>77</v>
      </c>
      <c r="AA88" s="14" t="s">
        <v>27</v>
      </c>
      <c r="AD88" s="363"/>
      <c r="AF88" s="360"/>
      <c r="AG88" s="361"/>
      <c r="AH88" s="360"/>
    </row>
    <row r="89" spans="1:34" hidden="1" outlineLevel="1">
      <c r="A89" s="47"/>
      <c r="B89" s="47" t="str">
        <f t="shared" si="22"/>
        <v>0000</v>
      </c>
      <c r="C89" s="265">
        <v>22</v>
      </c>
      <c r="D89" s="339"/>
      <c r="E89" s="6">
        <f t="shared" ref="E89:E152" si="26">+E88+1</f>
        <v>66</v>
      </c>
      <c r="F89" s="6">
        <v>3</v>
      </c>
      <c r="G89" s="251"/>
      <c r="H89" s="6"/>
      <c r="I89" s="244" t="e">
        <f t="shared" ca="1" si="23"/>
        <v>#N/A</v>
      </c>
      <c r="J89" s="7" t="s">
        <v>16</v>
      </c>
      <c r="K89" s="6"/>
      <c r="L89" s="244" t="e">
        <f t="shared" ca="1" si="24"/>
        <v>#N/A</v>
      </c>
      <c r="M89" s="251"/>
      <c r="N89" s="11"/>
      <c r="O89" s="244" t="e">
        <f t="shared" ca="1" si="25"/>
        <v>#N/A</v>
      </c>
      <c r="P89" s="252"/>
      <c r="Q89" s="253"/>
      <c r="R89" s="254" t="s">
        <v>15</v>
      </c>
      <c r="S89" s="255"/>
      <c r="T89" s="223" t="str">
        <f t="shared" si="10"/>
        <v/>
      </c>
      <c r="U89" s="7" t="s">
        <v>15</v>
      </c>
      <c r="V89" s="8" t="str">
        <f t="shared" si="11"/>
        <v/>
      </c>
      <c r="W89" s="58"/>
      <c r="X89" s="7" t="s">
        <v>37</v>
      </c>
      <c r="Y89" s="7" t="s">
        <v>37</v>
      </c>
      <c r="Z89" s="14" t="s">
        <v>77</v>
      </c>
      <c r="AA89" s="14" t="s">
        <v>27</v>
      </c>
      <c r="AF89" s="360"/>
      <c r="AG89" s="361"/>
      <c r="AH89" s="360"/>
    </row>
    <row r="90" spans="1:34" hidden="1" outlineLevel="1">
      <c r="A90" s="47"/>
      <c r="B90" s="47" t="str">
        <f t="shared" si="22"/>
        <v>0000</v>
      </c>
      <c r="C90" s="6">
        <v>23</v>
      </c>
      <c r="D90" s="339">
        <f>+Daten!N26</f>
        <v>0.77777777777777835</v>
      </c>
      <c r="E90" s="6">
        <f t="shared" si="26"/>
        <v>67</v>
      </c>
      <c r="F90" s="6">
        <v>1</v>
      </c>
      <c r="G90" s="251"/>
      <c r="H90" s="6"/>
      <c r="I90" s="244" t="e">
        <f t="shared" ca="1" si="23"/>
        <v>#N/A</v>
      </c>
      <c r="J90" s="7" t="s">
        <v>16</v>
      </c>
      <c r="K90" s="6"/>
      <c r="L90" s="244" t="e">
        <f t="shared" ca="1" si="24"/>
        <v>#N/A</v>
      </c>
      <c r="M90" s="251"/>
      <c r="N90" s="11"/>
      <c r="O90" s="268" t="e">
        <f t="shared" ca="1" si="25"/>
        <v>#N/A</v>
      </c>
      <c r="P90" s="252"/>
      <c r="Q90" s="253"/>
      <c r="R90" s="254" t="s">
        <v>15</v>
      </c>
      <c r="S90" s="255"/>
      <c r="T90" s="223" t="str">
        <f t="shared" si="10"/>
        <v/>
      </c>
      <c r="U90" s="7" t="s">
        <v>15</v>
      </c>
      <c r="V90" s="8" t="str">
        <f t="shared" si="11"/>
        <v/>
      </c>
      <c r="W90" s="58"/>
      <c r="X90" s="7" t="s">
        <v>37</v>
      </c>
      <c r="Y90" s="7" t="s">
        <v>37</v>
      </c>
      <c r="Z90" s="14" t="s">
        <v>78</v>
      </c>
      <c r="AA90" s="14" t="s">
        <v>27</v>
      </c>
      <c r="AF90" s="360"/>
      <c r="AG90" s="361"/>
      <c r="AH90" s="360"/>
    </row>
    <row r="91" spans="1:34" hidden="1" outlineLevel="1">
      <c r="A91" s="47"/>
      <c r="B91" s="47" t="str">
        <f t="shared" si="22"/>
        <v>0000</v>
      </c>
      <c r="C91" s="265">
        <v>23</v>
      </c>
      <c r="D91" s="339"/>
      <c r="E91" s="6">
        <f t="shared" si="26"/>
        <v>68</v>
      </c>
      <c r="F91" s="6">
        <v>2</v>
      </c>
      <c r="G91" s="251"/>
      <c r="H91" s="6"/>
      <c r="I91" s="244" t="e">
        <f t="shared" ca="1" si="23"/>
        <v>#N/A</v>
      </c>
      <c r="J91" s="7" t="s">
        <v>16</v>
      </c>
      <c r="K91" s="6"/>
      <c r="L91" s="244" t="e">
        <f t="shared" ca="1" si="24"/>
        <v>#N/A</v>
      </c>
      <c r="M91" s="251"/>
      <c r="N91" s="11"/>
      <c r="O91" s="268" t="e">
        <f t="shared" ca="1" si="25"/>
        <v>#N/A</v>
      </c>
      <c r="P91" s="252"/>
      <c r="Q91" s="253"/>
      <c r="R91" s="254" t="s">
        <v>15</v>
      </c>
      <c r="S91" s="255"/>
      <c r="T91" s="223" t="str">
        <f t="shared" si="10"/>
        <v/>
      </c>
      <c r="U91" s="7" t="s">
        <v>15</v>
      </c>
      <c r="V91" s="8" t="str">
        <f t="shared" si="11"/>
        <v/>
      </c>
      <c r="W91" s="58"/>
      <c r="X91" s="7" t="s">
        <v>37</v>
      </c>
      <c r="Y91" s="7" t="s">
        <v>37</v>
      </c>
      <c r="Z91" s="14" t="s">
        <v>78</v>
      </c>
      <c r="AA91" s="14" t="s">
        <v>27</v>
      </c>
      <c r="AF91" s="360"/>
      <c r="AG91" s="360"/>
      <c r="AH91" s="360"/>
    </row>
    <row r="92" spans="1:34" hidden="1" outlineLevel="1">
      <c r="A92" s="47"/>
      <c r="B92" s="47" t="str">
        <f t="shared" si="22"/>
        <v>0000</v>
      </c>
      <c r="C92" s="265">
        <v>23</v>
      </c>
      <c r="D92" s="339"/>
      <c r="E92" s="6">
        <f t="shared" si="26"/>
        <v>69</v>
      </c>
      <c r="F92" s="6">
        <v>3</v>
      </c>
      <c r="G92" s="251"/>
      <c r="H92" s="6"/>
      <c r="I92" s="244" t="e">
        <f t="shared" ca="1" si="23"/>
        <v>#N/A</v>
      </c>
      <c r="J92" s="7" t="s">
        <v>16</v>
      </c>
      <c r="K92" s="6"/>
      <c r="L92" s="244" t="e">
        <f t="shared" ca="1" si="24"/>
        <v>#N/A</v>
      </c>
      <c r="M92" s="251"/>
      <c r="N92" s="11"/>
      <c r="O92" s="268" t="e">
        <f t="shared" ca="1" si="25"/>
        <v>#N/A</v>
      </c>
      <c r="P92" s="252"/>
      <c r="Q92" s="253"/>
      <c r="R92" s="254" t="s">
        <v>15</v>
      </c>
      <c r="S92" s="255"/>
      <c r="T92" s="223" t="str">
        <f t="shared" si="10"/>
        <v/>
      </c>
      <c r="U92" s="7" t="s">
        <v>15</v>
      </c>
      <c r="V92" s="8" t="str">
        <f t="shared" si="11"/>
        <v/>
      </c>
      <c r="W92" s="6"/>
      <c r="X92" s="7" t="s">
        <v>37</v>
      </c>
      <c r="Y92" s="7" t="s">
        <v>37</v>
      </c>
      <c r="Z92" s="14" t="s">
        <v>79</v>
      </c>
      <c r="AA92" s="14" t="s">
        <v>27</v>
      </c>
      <c r="AF92" s="360"/>
      <c r="AG92" s="361"/>
      <c r="AH92" s="360"/>
    </row>
    <row r="93" spans="1:34" hidden="1" outlineLevel="1">
      <c r="A93" s="47"/>
      <c r="B93" s="47" t="str">
        <f t="shared" si="22"/>
        <v>0000</v>
      </c>
      <c r="C93" s="6">
        <v>24</v>
      </c>
      <c r="D93" s="339">
        <f>+Daten!N27</f>
        <v>0.79513888888888951</v>
      </c>
      <c r="E93" s="6">
        <f t="shared" si="26"/>
        <v>70</v>
      </c>
      <c r="F93" s="6">
        <v>1</v>
      </c>
      <c r="G93" s="251"/>
      <c r="H93" s="6"/>
      <c r="I93" s="244" t="e">
        <f t="shared" ca="1" si="23"/>
        <v>#N/A</v>
      </c>
      <c r="J93" s="7" t="s">
        <v>16</v>
      </c>
      <c r="K93" s="6"/>
      <c r="L93" s="244" t="e">
        <f t="shared" ca="1" si="24"/>
        <v>#N/A</v>
      </c>
      <c r="M93" s="251"/>
      <c r="N93" s="11"/>
      <c r="O93" s="268" t="e">
        <f t="shared" ca="1" si="25"/>
        <v>#N/A</v>
      </c>
      <c r="P93" s="252"/>
      <c r="Q93" s="253"/>
      <c r="R93" s="254" t="s">
        <v>15</v>
      </c>
      <c r="S93" s="255"/>
      <c r="T93" s="223" t="str">
        <f t="shared" si="10"/>
        <v/>
      </c>
      <c r="U93" s="7" t="s">
        <v>15</v>
      </c>
      <c r="V93" s="8" t="str">
        <f t="shared" si="11"/>
        <v/>
      </c>
      <c r="W93" s="6"/>
      <c r="X93" s="7" t="s">
        <v>37</v>
      </c>
      <c r="Y93" s="7" t="s">
        <v>37</v>
      </c>
      <c r="Z93" s="14" t="s">
        <v>79</v>
      </c>
      <c r="AA93" s="14" t="s">
        <v>27</v>
      </c>
      <c r="AF93" s="360"/>
      <c r="AG93" s="361"/>
      <c r="AH93" s="360"/>
    </row>
    <row r="94" spans="1:34" hidden="1" outlineLevel="1">
      <c r="A94" s="47"/>
      <c r="B94" s="47" t="str">
        <f t="shared" si="22"/>
        <v>0000</v>
      </c>
      <c r="C94" s="265">
        <v>24</v>
      </c>
      <c r="D94" s="339" t="s">
        <v>282</v>
      </c>
      <c r="E94" s="6">
        <f t="shared" si="26"/>
        <v>71</v>
      </c>
      <c r="F94" s="6">
        <v>2</v>
      </c>
      <c r="G94" s="251"/>
      <c r="H94" s="6"/>
      <c r="I94" s="244" t="e">
        <f t="shared" ca="1" si="23"/>
        <v>#N/A</v>
      </c>
      <c r="J94" s="7" t="s">
        <v>16</v>
      </c>
      <c r="K94" s="6"/>
      <c r="L94" s="244" t="e">
        <f t="shared" ca="1" si="24"/>
        <v>#N/A</v>
      </c>
      <c r="M94" s="251"/>
      <c r="N94" s="11"/>
      <c r="O94" s="268" t="e">
        <f t="shared" ca="1" si="25"/>
        <v>#N/A</v>
      </c>
      <c r="P94" s="252"/>
      <c r="Q94" s="253"/>
      <c r="R94" s="254" t="s">
        <v>15</v>
      </c>
      <c r="S94" s="255"/>
      <c r="T94" s="223" t="str">
        <f t="shared" si="10"/>
        <v/>
      </c>
      <c r="U94" s="7" t="s">
        <v>15</v>
      </c>
      <c r="V94" s="8" t="str">
        <f t="shared" si="11"/>
        <v/>
      </c>
      <c r="W94" s="58"/>
      <c r="X94" s="7" t="s">
        <v>37</v>
      </c>
      <c r="Y94" s="7" t="s">
        <v>37</v>
      </c>
      <c r="Z94" s="14" t="s">
        <v>80</v>
      </c>
      <c r="AA94" s="14" t="s">
        <v>27</v>
      </c>
      <c r="AF94" s="360"/>
      <c r="AG94" s="361"/>
      <c r="AH94" s="360"/>
    </row>
    <row r="95" spans="1:34" hidden="1" outlineLevel="1">
      <c r="A95" s="47"/>
      <c r="B95" s="47" t="str">
        <f t="shared" si="22"/>
        <v>0000</v>
      </c>
      <c r="C95" s="265">
        <v>24</v>
      </c>
      <c r="D95" s="339" t="s">
        <v>282</v>
      </c>
      <c r="E95" s="6">
        <f t="shared" si="26"/>
        <v>72</v>
      </c>
      <c r="F95" s="6">
        <v>3</v>
      </c>
      <c r="G95" s="251"/>
      <c r="H95" s="6"/>
      <c r="I95" s="244" t="e">
        <f t="shared" ca="1" si="23"/>
        <v>#N/A</v>
      </c>
      <c r="J95" s="7" t="s">
        <v>16</v>
      </c>
      <c r="K95" s="6"/>
      <c r="L95" s="244" t="e">
        <f t="shared" ca="1" si="24"/>
        <v>#N/A</v>
      </c>
      <c r="M95" s="251"/>
      <c r="N95" s="11"/>
      <c r="O95" s="268" t="e">
        <f t="shared" ca="1" si="25"/>
        <v>#N/A</v>
      </c>
      <c r="P95" s="252"/>
      <c r="Q95" s="253"/>
      <c r="R95" s="254" t="s">
        <v>15</v>
      </c>
      <c r="S95" s="255"/>
      <c r="T95" s="223" t="str">
        <f t="shared" si="10"/>
        <v/>
      </c>
      <c r="U95" s="7" t="s">
        <v>15</v>
      </c>
      <c r="V95" s="8" t="str">
        <f t="shared" si="11"/>
        <v/>
      </c>
      <c r="W95" s="58"/>
      <c r="X95" s="7" t="s">
        <v>37</v>
      </c>
      <c r="Y95" s="7" t="s">
        <v>37</v>
      </c>
      <c r="Z95" s="14" t="s">
        <v>80</v>
      </c>
      <c r="AA95" s="14" t="s">
        <v>27</v>
      </c>
      <c r="AF95" s="360"/>
      <c r="AG95" s="360"/>
      <c r="AH95" s="360"/>
    </row>
    <row r="96" spans="1:34" hidden="1" outlineLevel="1">
      <c r="A96" s="47"/>
      <c r="B96" s="47" t="str">
        <f t="shared" si="22"/>
        <v>0400</v>
      </c>
      <c r="C96" s="265">
        <v>21</v>
      </c>
      <c r="D96" s="339"/>
      <c r="E96" s="6">
        <f t="shared" si="26"/>
        <v>73</v>
      </c>
      <c r="F96" s="6">
        <v>3</v>
      </c>
      <c r="G96" s="251"/>
      <c r="H96" s="6">
        <v>4</v>
      </c>
      <c r="I96" s="268" t="e">
        <f t="shared" ca="1" si="23"/>
        <v>#N/A</v>
      </c>
      <c r="J96" s="7" t="s">
        <v>16</v>
      </c>
      <c r="K96" s="6"/>
      <c r="L96" s="244" t="e">
        <f t="shared" ca="1" si="24"/>
        <v>#N/A</v>
      </c>
      <c r="M96" s="251"/>
      <c r="N96" s="11">
        <v>3</v>
      </c>
      <c r="O96" s="268" t="e">
        <f t="shared" ca="1" si="25"/>
        <v>#N/A</v>
      </c>
      <c r="P96" s="252"/>
      <c r="Q96" s="253"/>
      <c r="R96" s="254" t="s">
        <v>15</v>
      </c>
      <c r="S96" s="255"/>
      <c r="T96" s="223" t="str">
        <f t="shared" si="10"/>
        <v/>
      </c>
      <c r="U96" s="7" t="s">
        <v>15</v>
      </c>
      <c r="V96" s="8" t="str">
        <f t="shared" si="11"/>
        <v/>
      </c>
      <c r="W96" s="244"/>
      <c r="X96" s="7" t="s">
        <v>37</v>
      </c>
      <c r="Y96" s="7" t="s">
        <v>37</v>
      </c>
      <c r="Z96" s="14" t="s">
        <v>81</v>
      </c>
      <c r="AA96" s="14" t="s">
        <v>27</v>
      </c>
      <c r="AF96" s="360"/>
      <c r="AG96" s="361"/>
      <c r="AH96" s="360"/>
    </row>
    <row r="97" spans="1:34" hidden="1" outlineLevel="1">
      <c r="A97" s="47"/>
      <c r="B97" s="47"/>
      <c r="C97" s="265">
        <v>22</v>
      </c>
      <c r="D97" s="339">
        <f>+Daten!N25</f>
        <v>0.76041666666666718</v>
      </c>
      <c r="E97" s="6">
        <f t="shared" si="26"/>
        <v>74</v>
      </c>
      <c r="F97" s="6">
        <v>1</v>
      </c>
      <c r="G97" s="12"/>
      <c r="H97" s="6"/>
      <c r="I97" s="244" t="e">
        <f t="shared" ca="1" si="23"/>
        <v>#N/A</v>
      </c>
      <c r="J97" s="7" t="s">
        <v>16</v>
      </c>
      <c r="K97" s="6"/>
      <c r="L97" s="244" t="e">
        <f t="shared" ca="1" si="24"/>
        <v>#N/A</v>
      </c>
      <c r="M97" s="12"/>
      <c r="N97" s="6"/>
      <c r="O97" s="244" t="e">
        <f t="shared" ca="1" si="25"/>
        <v>#N/A</v>
      </c>
      <c r="P97" s="252"/>
      <c r="Q97" s="253"/>
      <c r="R97" s="254" t="s">
        <v>15</v>
      </c>
      <c r="S97" s="255"/>
      <c r="T97" s="223" t="str">
        <f t="shared" si="10"/>
        <v/>
      </c>
      <c r="U97" s="7" t="s">
        <v>15</v>
      </c>
      <c r="V97" s="8" t="str">
        <f t="shared" si="11"/>
        <v/>
      </c>
      <c r="W97" s="58"/>
      <c r="X97" s="7" t="s">
        <v>37</v>
      </c>
      <c r="Y97" s="7" t="s">
        <v>37</v>
      </c>
      <c r="Z97" s="14" t="s">
        <v>81</v>
      </c>
      <c r="AA97" s="14" t="s">
        <v>27</v>
      </c>
      <c r="AF97" s="360"/>
      <c r="AG97" s="361"/>
      <c r="AH97" s="360"/>
    </row>
    <row r="98" spans="1:34" hidden="1" outlineLevel="1">
      <c r="A98" s="47"/>
      <c r="B98" s="47" t="str">
        <f t="shared" si="22"/>
        <v>1100</v>
      </c>
      <c r="C98" s="265"/>
      <c r="D98" s="339"/>
      <c r="E98" s="6">
        <f t="shared" si="26"/>
        <v>75</v>
      </c>
      <c r="F98" s="6">
        <v>3</v>
      </c>
      <c r="G98" s="12"/>
      <c r="H98" s="6">
        <v>11</v>
      </c>
      <c r="I98" s="244" t="e">
        <f t="shared" ref="I98:I119" ca="1" si="27">INDIRECT(ADDRESS(MATCH(H98,$A$1:$A$21,0),MATCH(G98,$A$3:$AE$3,0)))</f>
        <v>#N/A</v>
      </c>
      <c r="J98" s="7" t="s">
        <v>16</v>
      </c>
      <c r="K98" s="6"/>
      <c r="L98" s="244" t="e">
        <f ca="1">INDIRECT(ADDRESS(MATCH(K98,$A$1:$A$21,0),MATCH(#REF!,$A$3:$AE$3,0)))</f>
        <v>#N/A</v>
      </c>
      <c r="M98" s="12"/>
      <c r="N98" s="6">
        <v>3</v>
      </c>
      <c r="O98" s="244" t="e">
        <f t="shared" ref="O98:O119" ca="1" si="28">INDIRECT(ADDRESS(MATCH(N98,$A$1:$A$21,0),MATCH(M98,$A$3:$AE$3,0)))</f>
        <v>#N/A</v>
      </c>
      <c r="P98" s="252"/>
      <c r="Q98" s="253"/>
      <c r="R98" s="254" t="s">
        <v>15</v>
      </c>
      <c r="S98" s="255"/>
      <c r="T98" s="223" t="str">
        <f t="shared" si="10"/>
        <v/>
      </c>
      <c r="U98" s="7" t="s">
        <v>15</v>
      </c>
      <c r="V98" s="8" t="str">
        <f t="shared" si="11"/>
        <v/>
      </c>
      <c r="W98" s="6"/>
      <c r="X98" s="7" t="s">
        <v>37</v>
      </c>
      <c r="Y98" s="7" t="s">
        <v>37</v>
      </c>
      <c r="Z98" s="14" t="s">
        <v>82</v>
      </c>
      <c r="AA98" s="14" t="s">
        <v>27</v>
      </c>
      <c r="AF98" s="360"/>
      <c r="AG98" s="361"/>
      <c r="AH98" s="360"/>
    </row>
    <row r="99" spans="1:34" hidden="1" outlineLevel="1">
      <c r="A99" s="47"/>
      <c r="B99" s="47" t="str">
        <f t="shared" si="22"/>
        <v>1200</v>
      </c>
      <c r="C99" s="265"/>
      <c r="D99" s="339"/>
      <c r="E99" s="6">
        <f t="shared" si="26"/>
        <v>76</v>
      </c>
      <c r="F99" s="6">
        <v>4</v>
      </c>
      <c r="G99" s="12"/>
      <c r="H99" s="6">
        <v>12</v>
      </c>
      <c r="I99" s="244" t="e">
        <f t="shared" ca="1" si="27"/>
        <v>#N/A</v>
      </c>
      <c r="J99" s="7" t="s">
        <v>16</v>
      </c>
      <c r="K99" s="6"/>
      <c r="L99" s="244" t="e">
        <f ca="1">INDIRECT(ADDRESS(MATCH(K99,$A$1:$A$21,0),MATCH(#REF!,$A$3:$AE$3,0)))</f>
        <v>#N/A</v>
      </c>
      <c r="M99" s="12"/>
      <c r="N99" s="6">
        <v>4</v>
      </c>
      <c r="O99" s="244" t="e">
        <f t="shared" ca="1" si="28"/>
        <v>#N/A</v>
      </c>
      <c r="P99" s="252"/>
      <c r="Q99" s="253"/>
      <c r="R99" s="254" t="s">
        <v>15</v>
      </c>
      <c r="S99" s="255"/>
      <c r="T99" s="223" t="str">
        <f t="shared" si="10"/>
        <v/>
      </c>
      <c r="U99" s="7" t="s">
        <v>15</v>
      </c>
      <c r="V99" s="8" t="str">
        <f t="shared" si="11"/>
        <v/>
      </c>
      <c r="W99" s="6"/>
      <c r="X99" s="7" t="s">
        <v>37</v>
      </c>
      <c r="Y99" s="7" t="s">
        <v>37</v>
      </c>
      <c r="Z99" s="14" t="s">
        <v>82</v>
      </c>
      <c r="AA99" s="14" t="s">
        <v>27</v>
      </c>
      <c r="AF99" s="360"/>
      <c r="AG99" s="360"/>
      <c r="AH99" s="360"/>
    </row>
    <row r="100" spans="1:34" hidden="1" outlineLevel="1">
      <c r="A100" s="47"/>
      <c r="B100" s="47" t="str">
        <f t="shared" si="22"/>
        <v>1100</v>
      </c>
      <c r="C100" s="265">
        <f>+C96+1</f>
        <v>22</v>
      </c>
      <c r="D100" s="339">
        <f>+Daten!N23</f>
        <v>0.72569444444444486</v>
      </c>
      <c r="E100" s="6">
        <f t="shared" si="26"/>
        <v>77</v>
      </c>
      <c r="F100" s="6">
        <v>1</v>
      </c>
      <c r="G100" s="12"/>
      <c r="H100" s="6">
        <v>11</v>
      </c>
      <c r="I100" s="244" t="e">
        <f t="shared" ca="1" si="27"/>
        <v>#N/A</v>
      </c>
      <c r="J100" s="7" t="s">
        <v>16</v>
      </c>
      <c r="K100" s="6"/>
      <c r="L100" s="244" t="e">
        <f ca="1">INDIRECT(ADDRESS(MATCH(K100,$A$1:$A$21,0),MATCH(#REF!,$A$3:$AE$3,0)))</f>
        <v>#N/A</v>
      </c>
      <c r="M100" s="12"/>
      <c r="N100" s="6">
        <v>11</v>
      </c>
      <c r="O100" s="244" t="e">
        <f t="shared" ca="1" si="28"/>
        <v>#N/A</v>
      </c>
      <c r="P100" s="252"/>
      <c r="Q100" s="253"/>
      <c r="R100" s="254" t="s">
        <v>15</v>
      </c>
      <c r="S100" s="255"/>
      <c r="T100" s="223" t="str">
        <f t="shared" si="10"/>
        <v/>
      </c>
      <c r="U100" s="7" t="s">
        <v>15</v>
      </c>
      <c r="V100" s="8" t="str">
        <f>IF(S100="","",IF(S100&gt;Q100,2,IF(S100&lt;Q100,0,1)))</f>
        <v/>
      </c>
      <c r="W100" s="58"/>
      <c r="X100" s="7" t="s">
        <v>37</v>
      </c>
      <c r="Y100" s="7" t="s">
        <v>37</v>
      </c>
      <c r="Z100" s="14" t="s">
        <v>83</v>
      </c>
      <c r="AA100" s="14" t="s">
        <v>27</v>
      </c>
      <c r="AF100" s="360"/>
      <c r="AG100" s="361"/>
      <c r="AH100" s="360"/>
    </row>
    <row r="101" spans="1:34" hidden="1" outlineLevel="1">
      <c r="A101" s="47"/>
      <c r="B101" s="47" t="str">
        <f t="shared" si="22"/>
        <v>1200</v>
      </c>
      <c r="C101" s="265"/>
      <c r="D101" s="339"/>
      <c r="E101" s="6">
        <f t="shared" si="26"/>
        <v>78</v>
      </c>
      <c r="F101" s="6">
        <v>2</v>
      </c>
      <c r="G101" s="12"/>
      <c r="H101" s="6">
        <v>12</v>
      </c>
      <c r="I101" s="244" t="e">
        <f t="shared" ca="1" si="27"/>
        <v>#N/A</v>
      </c>
      <c r="J101" s="7" t="s">
        <v>16</v>
      </c>
      <c r="K101" s="6"/>
      <c r="L101" s="244" t="e">
        <f ca="1">INDIRECT(ADDRESS(MATCH(K101,$A$1:$A$21,0),MATCH(#REF!,$A$3:$AE$3,0)))</f>
        <v>#N/A</v>
      </c>
      <c r="M101" s="12"/>
      <c r="N101" s="6">
        <v>12</v>
      </c>
      <c r="O101" s="244" t="e">
        <f t="shared" ca="1" si="28"/>
        <v>#N/A</v>
      </c>
      <c r="P101" s="252"/>
      <c r="Q101" s="253"/>
      <c r="R101" s="254" t="s">
        <v>15</v>
      </c>
      <c r="S101" s="255"/>
      <c r="T101" s="223" t="str">
        <f t="shared" si="10"/>
        <v/>
      </c>
      <c r="U101" s="7" t="s">
        <v>15</v>
      </c>
      <c r="V101" s="8" t="str">
        <f>IF(S101="","",IF(S101&gt;Q101,2,IF(S101&lt;Q101,0,1)))</f>
        <v/>
      </c>
      <c r="W101" s="58"/>
      <c r="X101" s="7" t="s">
        <v>37</v>
      </c>
      <c r="Y101" s="7" t="s">
        <v>37</v>
      </c>
      <c r="Z101" s="14" t="s">
        <v>83</v>
      </c>
      <c r="AF101" s="360"/>
      <c r="AG101" s="361"/>
      <c r="AH101" s="360"/>
    </row>
    <row r="102" spans="1:34" hidden="1" outlineLevel="1">
      <c r="A102" s="47"/>
      <c r="B102" s="47" t="str">
        <f t="shared" si="22"/>
        <v>1100</v>
      </c>
      <c r="C102" s="265"/>
      <c r="D102" s="339"/>
      <c r="E102" s="6">
        <f t="shared" si="26"/>
        <v>79</v>
      </c>
      <c r="F102" s="6">
        <v>3</v>
      </c>
      <c r="G102" s="12"/>
      <c r="H102" s="6">
        <v>11</v>
      </c>
      <c r="I102" s="244" t="e">
        <f t="shared" ca="1" si="27"/>
        <v>#N/A</v>
      </c>
      <c r="J102" s="7" t="s">
        <v>16</v>
      </c>
      <c r="K102" s="6"/>
      <c r="L102" s="244" t="e">
        <f ca="1">INDIRECT(ADDRESS(MATCH(K102,$A$1:$A$21,0),MATCH(#REF!,$A$3:$AE$3,0)))</f>
        <v>#N/A</v>
      </c>
      <c r="M102" s="12"/>
      <c r="N102" s="6">
        <v>1</v>
      </c>
      <c r="O102" s="268" t="e">
        <f t="shared" ca="1" si="28"/>
        <v>#N/A</v>
      </c>
      <c r="P102" s="252"/>
      <c r="Q102" s="253"/>
      <c r="R102" s="254" t="s">
        <v>15</v>
      </c>
      <c r="S102" s="255"/>
      <c r="T102" s="223" t="str">
        <f t="shared" si="10"/>
        <v/>
      </c>
      <c r="U102" s="7" t="s">
        <v>15</v>
      </c>
      <c r="V102" s="8" t="str">
        <f>IF(S102="","",IF(S102&gt;Q102,2,IF(S102&lt;Q102,0,1)))</f>
        <v/>
      </c>
      <c r="W102" s="58"/>
      <c r="X102" s="7" t="s">
        <v>37</v>
      </c>
      <c r="Y102" s="7" t="s">
        <v>37</v>
      </c>
      <c r="Z102" s="14" t="s">
        <v>84</v>
      </c>
      <c r="AF102" s="360"/>
      <c r="AG102" s="361"/>
      <c r="AH102" s="360"/>
    </row>
    <row r="103" spans="1:34" hidden="1" outlineLevel="1">
      <c r="A103" s="47"/>
      <c r="B103" s="47" t="str">
        <f t="shared" si="22"/>
        <v>1200</v>
      </c>
      <c r="C103" s="265"/>
      <c r="D103" s="339"/>
      <c r="E103" s="6">
        <f t="shared" si="26"/>
        <v>80</v>
      </c>
      <c r="F103" s="6">
        <v>4</v>
      </c>
      <c r="G103" s="12"/>
      <c r="H103" s="6">
        <v>12</v>
      </c>
      <c r="I103" s="244" t="e">
        <f t="shared" ca="1" si="27"/>
        <v>#N/A</v>
      </c>
      <c r="J103" s="7" t="s">
        <v>16</v>
      </c>
      <c r="K103" s="6"/>
      <c r="L103" s="244" t="e">
        <f ca="1">INDIRECT(ADDRESS(MATCH(K103,$A$1:$A$21,0),MATCH(#REF!,$A$3:$AE$3,0)))</f>
        <v>#N/A</v>
      </c>
      <c r="M103" s="12"/>
      <c r="N103" s="6">
        <v>2</v>
      </c>
      <c r="O103" s="268" t="e">
        <f t="shared" ca="1" si="28"/>
        <v>#N/A</v>
      </c>
      <c r="P103" s="252"/>
      <c r="Q103" s="253"/>
      <c r="R103" s="254" t="s">
        <v>15</v>
      </c>
      <c r="S103" s="255"/>
      <c r="T103" s="223" t="str">
        <f t="shared" si="10"/>
        <v/>
      </c>
      <c r="U103" s="7" t="s">
        <v>15</v>
      </c>
      <c r="V103" s="8" t="str">
        <f>IF(S103="","",IF(S103&gt;Q103,2,IF(S103&lt;Q103,0,1)))</f>
        <v/>
      </c>
      <c r="W103" s="58"/>
      <c r="X103" s="7" t="s">
        <v>37</v>
      </c>
      <c r="Y103" s="7" t="s">
        <v>37</v>
      </c>
      <c r="Z103" s="14" t="s">
        <v>84</v>
      </c>
      <c r="AF103" s="360"/>
      <c r="AG103" s="360"/>
      <c r="AH103" s="360"/>
    </row>
    <row r="104" spans="1:34" hidden="1" outlineLevel="1">
      <c r="A104" s="47"/>
      <c r="B104" s="47" t="str">
        <f t="shared" si="22"/>
        <v>0100</v>
      </c>
      <c r="C104" s="265">
        <f>+C100+1</f>
        <v>23</v>
      </c>
      <c r="D104" s="339">
        <f>+Daten!N24</f>
        <v>0.74305555555555602</v>
      </c>
      <c r="E104" s="6">
        <f t="shared" si="26"/>
        <v>81</v>
      </c>
      <c r="F104" s="6">
        <v>1</v>
      </c>
      <c r="G104" s="12"/>
      <c r="H104" s="6">
        <v>1</v>
      </c>
      <c r="I104" s="244" t="e">
        <f t="shared" ca="1" si="27"/>
        <v>#N/A</v>
      </c>
      <c r="J104" s="7" t="s">
        <v>16</v>
      </c>
      <c r="K104" s="6"/>
      <c r="L104" s="244" t="e">
        <f ca="1">INDIRECT(ADDRESS(MATCH(K104,$A$1:$A$21,0),MATCH(#REF!,$A$3:$AE$3,0)))</f>
        <v>#N/A</v>
      </c>
      <c r="M104" s="12"/>
      <c r="N104" s="6">
        <v>1</v>
      </c>
      <c r="O104" s="268" t="e">
        <f t="shared" ca="1" si="28"/>
        <v>#N/A</v>
      </c>
      <c r="P104" s="252"/>
      <c r="Q104" s="253"/>
      <c r="R104" s="254" t="s">
        <v>15</v>
      </c>
      <c r="S104" s="255"/>
      <c r="T104" s="223" t="str">
        <f t="shared" si="10"/>
        <v/>
      </c>
      <c r="U104" s="7" t="s">
        <v>15</v>
      </c>
      <c r="V104" s="8" t="str">
        <f t="shared" si="11"/>
        <v/>
      </c>
      <c r="W104" s="6"/>
      <c r="X104" s="7" t="s">
        <v>37</v>
      </c>
      <c r="Y104" s="7" t="s">
        <v>37</v>
      </c>
      <c r="Z104" s="14" t="s">
        <v>85</v>
      </c>
      <c r="AF104" s="360"/>
      <c r="AG104" s="361"/>
      <c r="AH104" s="360"/>
    </row>
    <row r="105" spans="1:34" hidden="1" outlineLevel="1">
      <c r="A105" s="47"/>
      <c r="B105" s="47" t="str">
        <f t="shared" si="22"/>
        <v>0200</v>
      </c>
      <c r="C105" s="265"/>
      <c r="D105" s="339"/>
      <c r="E105" s="6">
        <f t="shared" si="26"/>
        <v>82</v>
      </c>
      <c r="F105" s="6">
        <v>2</v>
      </c>
      <c r="G105" s="12"/>
      <c r="H105" s="6">
        <v>2</v>
      </c>
      <c r="I105" s="244" t="e">
        <f t="shared" ca="1" si="27"/>
        <v>#N/A</v>
      </c>
      <c r="J105" s="7" t="s">
        <v>16</v>
      </c>
      <c r="K105" s="6"/>
      <c r="L105" s="244" t="e">
        <f ca="1">INDIRECT(ADDRESS(MATCH(K105,$A$1:$A$21,0),MATCH(#REF!,$A$3:$AE$3,0)))</f>
        <v>#N/A</v>
      </c>
      <c r="M105" s="12"/>
      <c r="N105" s="6">
        <v>2</v>
      </c>
      <c r="O105" s="268" t="e">
        <f t="shared" ca="1" si="28"/>
        <v>#N/A</v>
      </c>
      <c r="P105" s="252"/>
      <c r="Q105" s="253"/>
      <c r="R105" s="254" t="s">
        <v>15</v>
      </c>
      <c r="S105" s="255"/>
      <c r="T105" s="223" t="str">
        <f t="shared" si="10"/>
        <v/>
      </c>
      <c r="U105" s="7" t="s">
        <v>15</v>
      </c>
      <c r="V105" s="8" t="str">
        <f t="shared" si="11"/>
        <v/>
      </c>
      <c r="W105" s="6"/>
      <c r="X105" s="7" t="s">
        <v>37</v>
      </c>
      <c r="Y105" s="7" t="s">
        <v>37</v>
      </c>
      <c r="Z105" s="14" t="s">
        <v>85</v>
      </c>
      <c r="AF105" s="360"/>
      <c r="AG105" s="361"/>
      <c r="AH105" s="360"/>
    </row>
    <row r="106" spans="1:34" hidden="1" outlineLevel="1">
      <c r="A106" s="47"/>
      <c r="B106" s="47" t="str">
        <f t="shared" si="22"/>
        <v>0100</v>
      </c>
      <c r="C106" s="265"/>
      <c r="D106" s="339"/>
      <c r="E106" s="6">
        <f t="shared" si="26"/>
        <v>83</v>
      </c>
      <c r="F106" s="6">
        <v>3</v>
      </c>
      <c r="G106" s="12"/>
      <c r="H106" s="6">
        <v>1</v>
      </c>
      <c r="I106" s="244" t="e">
        <f t="shared" ca="1" si="27"/>
        <v>#N/A</v>
      </c>
      <c r="J106" s="7" t="s">
        <v>16</v>
      </c>
      <c r="K106" s="6"/>
      <c r="L106" s="244" t="e">
        <f ca="1">INDIRECT(ADDRESS(MATCH(K106,$A$1:$A$21,0),MATCH(#REF!,$A$3:$AE$3,0)))</f>
        <v>#N/A</v>
      </c>
      <c r="M106" s="12"/>
      <c r="N106" s="6">
        <v>1</v>
      </c>
      <c r="O106" s="268" t="e">
        <f t="shared" ca="1" si="28"/>
        <v>#N/A</v>
      </c>
      <c r="P106" s="252"/>
      <c r="Q106" s="253"/>
      <c r="R106" s="254" t="s">
        <v>15</v>
      </c>
      <c r="S106" s="255"/>
      <c r="T106" s="223" t="str">
        <f t="shared" si="10"/>
        <v/>
      </c>
      <c r="U106" s="7" t="s">
        <v>15</v>
      </c>
      <c r="V106" s="8" t="str">
        <f t="shared" si="11"/>
        <v/>
      </c>
      <c r="W106" s="6"/>
      <c r="X106" s="7" t="s">
        <v>37</v>
      </c>
      <c r="Y106" s="7" t="s">
        <v>37</v>
      </c>
      <c r="Z106" s="14" t="s">
        <v>87</v>
      </c>
      <c r="AF106" s="360"/>
      <c r="AG106" s="361"/>
      <c r="AH106" s="360"/>
    </row>
    <row r="107" spans="1:34" hidden="1" outlineLevel="1">
      <c r="A107" s="47"/>
      <c r="B107" s="47" t="str">
        <f t="shared" si="22"/>
        <v>0200</v>
      </c>
      <c r="C107" s="265"/>
      <c r="D107" s="339"/>
      <c r="E107" s="6">
        <f t="shared" si="26"/>
        <v>84</v>
      </c>
      <c r="F107" s="6">
        <v>4</v>
      </c>
      <c r="G107" s="12"/>
      <c r="H107" s="6">
        <v>2</v>
      </c>
      <c r="I107" s="244" t="e">
        <f t="shared" ca="1" si="27"/>
        <v>#N/A</v>
      </c>
      <c r="J107" s="7" t="s">
        <v>16</v>
      </c>
      <c r="K107" s="6"/>
      <c r="L107" s="244" t="e">
        <f ca="1">INDIRECT(ADDRESS(MATCH(K107,$A$1:$A$21,0),MATCH(#REF!,$A$3:$AE$3,0)))</f>
        <v>#N/A</v>
      </c>
      <c r="M107" s="12"/>
      <c r="N107" s="6">
        <v>2</v>
      </c>
      <c r="O107" s="268" t="e">
        <f t="shared" ca="1" si="28"/>
        <v>#N/A</v>
      </c>
      <c r="P107" s="252"/>
      <c r="Q107" s="253"/>
      <c r="R107" s="254" t="s">
        <v>15</v>
      </c>
      <c r="S107" s="255"/>
      <c r="T107" s="223" t="str">
        <f t="shared" si="10"/>
        <v/>
      </c>
      <c r="U107" s="7" t="s">
        <v>15</v>
      </c>
      <c r="V107" s="8" t="str">
        <f t="shared" si="11"/>
        <v/>
      </c>
      <c r="W107" s="6"/>
      <c r="X107" s="7" t="s">
        <v>37</v>
      </c>
      <c r="Y107" s="7" t="s">
        <v>37</v>
      </c>
      <c r="Z107" s="14" t="s">
        <v>87</v>
      </c>
      <c r="AF107" s="360"/>
      <c r="AG107" s="360"/>
      <c r="AH107" s="360"/>
    </row>
    <row r="108" spans="1:34" hidden="1" outlineLevel="1">
      <c r="A108" s="47"/>
      <c r="B108" s="47" t="str">
        <f t="shared" si="22"/>
        <v>0100</v>
      </c>
      <c r="C108" s="265">
        <f>+C104+1</f>
        <v>24</v>
      </c>
      <c r="D108" s="339">
        <f>+Daten!N25</f>
        <v>0.76041666666666718</v>
      </c>
      <c r="E108" s="6">
        <f t="shared" si="26"/>
        <v>85</v>
      </c>
      <c r="F108" s="6">
        <v>1</v>
      </c>
      <c r="G108" s="12"/>
      <c r="H108" s="6">
        <v>1</v>
      </c>
      <c r="I108" s="244" t="e">
        <f t="shared" ca="1" si="27"/>
        <v>#N/A</v>
      </c>
      <c r="J108" s="7" t="s">
        <v>16</v>
      </c>
      <c r="K108" s="6"/>
      <c r="L108" s="244" t="e">
        <f ca="1">INDIRECT(ADDRESS(MATCH(K108,$A$1:$A$21,0),MATCH(#REF!,$A$3:$AE$3,0)))</f>
        <v>#N/A</v>
      </c>
      <c r="M108" s="12"/>
      <c r="N108" s="6">
        <v>11</v>
      </c>
      <c r="O108" s="244" t="e">
        <f t="shared" ca="1" si="28"/>
        <v>#N/A</v>
      </c>
      <c r="P108" s="252"/>
      <c r="Q108" s="253"/>
      <c r="R108" s="254" t="s">
        <v>15</v>
      </c>
      <c r="S108" s="255"/>
      <c r="T108" s="223" t="str">
        <f t="shared" ref="T108:T153" si="29">IF(Q108="","",IF(Q108&gt;S108,2,IF(Q108&lt;S108,0,1)))</f>
        <v/>
      </c>
      <c r="U108" s="7" t="s">
        <v>15</v>
      </c>
      <c r="V108" s="8" t="str">
        <f t="shared" ref="V108:V153" si="30">IF(S108="","",IF(S108&gt;Q108,2,IF(S108&lt;Q108,0,1)))</f>
        <v/>
      </c>
      <c r="W108" s="6"/>
      <c r="X108" s="7" t="s">
        <v>37</v>
      </c>
      <c r="Y108" s="7" t="s">
        <v>37</v>
      </c>
      <c r="Z108" s="14" t="s">
        <v>88</v>
      </c>
      <c r="AF108" s="360"/>
      <c r="AG108" s="361"/>
      <c r="AH108" s="360"/>
    </row>
    <row r="109" spans="1:34" hidden="1" outlineLevel="1">
      <c r="A109" s="47"/>
      <c r="B109" s="47" t="str">
        <f t="shared" si="22"/>
        <v>0200</v>
      </c>
      <c r="C109" s="265"/>
      <c r="D109" s="339"/>
      <c r="E109" s="6">
        <f t="shared" si="26"/>
        <v>86</v>
      </c>
      <c r="F109" s="6">
        <v>2</v>
      </c>
      <c r="G109" s="12"/>
      <c r="H109" s="6">
        <v>2</v>
      </c>
      <c r="I109" s="244" t="e">
        <f t="shared" ca="1" si="27"/>
        <v>#N/A</v>
      </c>
      <c r="J109" s="7" t="s">
        <v>16</v>
      </c>
      <c r="K109" s="6"/>
      <c r="L109" s="244" t="e">
        <f ca="1">INDIRECT(ADDRESS(MATCH(K109,$A$1:$A$21,0),MATCH(#REF!,$A$3:$AE$3,0)))</f>
        <v>#N/A</v>
      </c>
      <c r="M109" s="12"/>
      <c r="N109" s="6">
        <v>12</v>
      </c>
      <c r="O109" s="244" t="e">
        <f t="shared" ca="1" si="28"/>
        <v>#N/A</v>
      </c>
      <c r="P109" s="252"/>
      <c r="Q109" s="253"/>
      <c r="R109" s="254" t="s">
        <v>15</v>
      </c>
      <c r="S109" s="255"/>
      <c r="T109" s="223" t="str">
        <f t="shared" si="29"/>
        <v/>
      </c>
      <c r="U109" s="7" t="s">
        <v>15</v>
      </c>
      <c r="V109" s="8" t="str">
        <f t="shared" si="30"/>
        <v/>
      </c>
      <c r="W109" s="6"/>
      <c r="X109" s="7" t="s">
        <v>37</v>
      </c>
      <c r="Y109" s="7" t="s">
        <v>37</v>
      </c>
      <c r="Z109" s="14" t="s">
        <v>88</v>
      </c>
      <c r="AF109" s="360"/>
      <c r="AG109" s="361"/>
      <c r="AH109" s="360"/>
    </row>
    <row r="110" spans="1:34" hidden="1" outlineLevel="1">
      <c r="A110" s="47"/>
      <c r="B110" s="47" t="str">
        <f t="shared" si="22"/>
        <v>1100</v>
      </c>
      <c r="C110" s="265"/>
      <c r="D110" s="339"/>
      <c r="E110" s="6">
        <f t="shared" si="26"/>
        <v>87</v>
      </c>
      <c r="F110" s="6">
        <v>3</v>
      </c>
      <c r="G110" s="12"/>
      <c r="H110" s="6">
        <v>11</v>
      </c>
      <c r="I110" s="244" t="e">
        <f t="shared" ca="1" si="27"/>
        <v>#N/A</v>
      </c>
      <c r="J110" s="7" t="s">
        <v>16</v>
      </c>
      <c r="K110" s="6"/>
      <c r="L110" s="244" t="e">
        <f ca="1">INDIRECT(ADDRESS(MATCH(K110,$A$1:$A$21,0),MATCH(#REF!,$A$3:$AE$3,0)))</f>
        <v>#N/A</v>
      </c>
      <c r="M110" s="12"/>
      <c r="N110" s="6">
        <v>1</v>
      </c>
      <c r="O110" s="268" t="e">
        <f t="shared" ca="1" si="28"/>
        <v>#N/A</v>
      </c>
      <c r="P110" s="252"/>
      <c r="Q110" s="253"/>
      <c r="R110" s="254" t="s">
        <v>15</v>
      </c>
      <c r="S110" s="255"/>
      <c r="T110" s="223" t="str">
        <f t="shared" si="29"/>
        <v/>
      </c>
      <c r="U110" s="7" t="s">
        <v>15</v>
      </c>
      <c r="V110" s="8" t="str">
        <f t="shared" si="30"/>
        <v/>
      </c>
      <c r="W110" s="58"/>
      <c r="X110" s="7" t="s">
        <v>37</v>
      </c>
      <c r="Y110" s="7" t="s">
        <v>37</v>
      </c>
      <c r="Z110" s="14" t="s">
        <v>89</v>
      </c>
      <c r="AF110" s="360"/>
      <c r="AG110" s="361"/>
      <c r="AH110" s="360"/>
    </row>
    <row r="111" spans="1:34" hidden="1" outlineLevel="1">
      <c r="A111" s="47"/>
      <c r="B111" s="47" t="str">
        <f t="shared" si="22"/>
        <v>1200</v>
      </c>
      <c r="C111" s="265"/>
      <c r="D111" s="339"/>
      <c r="E111" s="6">
        <f t="shared" si="26"/>
        <v>88</v>
      </c>
      <c r="F111" s="6">
        <v>4</v>
      </c>
      <c r="G111" s="12"/>
      <c r="H111" s="6">
        <v>12</v>
      </c>
      <c r="I111" s="244" t="e">
        <f t="shared" ca="1" si="27"/>
        <v>#N/A</v>
      </c>
      <c r="J111" s="7" t="s">
        <v>16</v>
      </c>
      <c r="K111" s="6"/>
      <c r="L111" s="244" t="e">
        <f ca="1">INDIRECT(ADDRESS(MATCH(K111,$A$1:$A$21,0),MATCH(#REF!,$A$3:$AE$3,0)))</f>
        <v>#N/A</v>
      </c>
      <c r="M111" s="12"/>
      <c r="N111" s="6">
        <v>2</v>
      </c>
      <c r="O111" s="268" t="e">
        <f t="shared" ca="1" si="28"/>
        <v>#N/A</v>
      </c>
      <c r="P111" s="252"/>
      <c r="Q111" s="253"/>
      <c r="R111" s="254" t="s">
        <v>15</v>
      </c>
      <c r="S111" s="255"/>
      <c r="T111" s="223" t="str">
        <f t="shared" si="29"/>
        <v/>
      </c>
      <c r="U111" s="7" t="s">
        <v>15</v>
      </c>
      <c r="V111" s="8" t="str">
        <f t="shared" si="30"/>
        <v/>
      </c>
      <c r="W111" s="58"/>
      <c r="X111" s="7" t="s">
        <v>37</v>
      </c>
      <c r="Y111" s="7" t="s">
        <v>37</v>
      </c>
      <c r="Z111" s="14" t="s">
        <v>89</v>
      </c>
      <c r="AF111" s="360"/>
      <c r="AG111" s="360"/>
      <c r="AH111" s="360"/>
    </row>
    <row r="112" spans="1:34" hidden="1" outlineLevel="1">
      <c r="B112" s="47" t="str">
        <f t="shared" si="22"/>
        <v>1100</v>
      </c>
      <c r="C112" s="265">
        <f>+C108+1</f>
        <v>25</v>
      </c>
      <c r="D112" s="339">
        <f>+Daten!N26</f>
        <v>0.77777777777777835</v>
      </c>
      <c r="E112" s="6">
        <f t="shared" si="26"/>
        <v>89</v>
      </c>
      <c r="F112" s="6">
        <v>1</v>
      </c>
      <c r="G112" s="12"/>
      <c r="H112" s="6">
        <v>11</v>
      </c>
      <c r="I112" s="244" t="e">
        <f t="shared" ca="1" si="27"/>
        <v>#N/A</v>
      </c>
      <c r="J112" s="7" t="s">
        <v>16</v>
      </c>
      <c r="K112" s="6"/>
      <c r="L112" s="244" t="e">
        <f ca="1">INDIRECT(ADDRESS(MATCH(K112,$A$1:$A$21,0),MATCH(#REF!,$A$3:$AE$3,0)))</f>
        <v>#N/A</v>
      </c>
      <c r="M112" s="12"/>
      <c r="N112" s="6">
        <v>1</v>
      </c>
      <c r="O112" s="268" t="e">
        <f t="shared" ca="1" si="28"/>
        <v>#N/A</v>
      </c>
      <c r="P112" s="252"/>
      <c r="Q112" s="253"/>
      <c r="R112" s="254" t="s">
        <v>15</v>
      </c>
      <c r="S112" s="255"/>
      <c r="T112" s="223" t="str">
        <f t="shared" si="29"/>
        <v/>
      </c>
      <c r="U112" s="7" t="s">
        <v>15</v>
      </c>
      <c r="V112" s="8" t="str">
        <f t="shared" si="30"/>
        <v/>
      </c>
      <c r="W112" s="58"/>
      <c r="X112" s="7" t="s">
        <v>37</v>
      </c>
      <c r="Y112" s="7" t="s">
        <v>37</v>
      </c>
      <c r="Z112" s="14" t="s">
        <v>90</v>
      </c>
      <c r="AF112" s="360"/>
      <c r="AG112" s="360"/>
      <c r="AH112" s="360"/>
    </row>
    <row r="113" spans="2:34" hidden="1" outlineLevel="1">
      <c r="B113" s="47" t="str">
        <f t="shared" si="22"/>
        <v>1200</v>
      </c>
      <c r="C113" s="265"/>
      <c r="D113" s="339"/>
      <c r="E113" s="6">
        <f t="shared" si="26"/>
        <v>90</v>
      </c>
      <c r="F113" s="6">
        <v>2</v>
      </c>
      <c r="G113" s="12"/>
      <c r="H113" s="6">
        <v>12</v>
      </c>
      <c r="I113" s="244" t="e">
        <f t="shared" ca="1" si="27"/>
        <v>#N/A</v>
      </c>
      <c r="J113" s="7" t="s">
        <v>16</v>
      </c>
      <c r="K113" s="6"/>
      <c r="L113" s="244" t="e">
        <f ca="1">INDIRECT(ADDRESS(MATCH(K113,$A$1:$A$21,0),MATCH(#REF!,$A$3:$AE$3,0)))</f>
        <v>#N/A</v>
      </c>
      <c r="M113" s="12"/>
      <c r="N113" s="6">
        <v>2</v>
      </c>
      <c r="O113" s="268" t="e">
        <f t="shared" ca="1" si="28"/>
        <v>#N/A</v>
      </c>
      <c r="P113" s="252"/>
      <c r="Q113" s="253"/>
      <c r="R113" s="254" t="s">
        <v>15</v>
      </c>
      <c r="S113" s="255"/>
      <c r="T113" s="223" t="str">
        <f t="shared" si="29"/>
        <v/>
      </c>
      <c r="U113" s="7" t="s">
        <v>15</v>
      </c>
      <c r="V113" s="8" t="str">
        <f t="shared" si="30"/>
        <v/>
      </c>
      <c r="W113" s="58"/>
      <c r="X113" s="7" t="s">
        <v>37</v>
      </c>
      <c r="Y113" s="7" t="s">
        <v>37</v>
      </c>
      <c r="Z113" s="14" t="s">
        <v>90</v>
      </c>
      <c r="AF113" s="360"/>
      <c r="AG113" s="360"/>
      <c r="AH113" s="360"/>
    </row>
    <row r="114" spans="2:34" hidden="1" outlineLevel="1">
      <c r="B114" s="47" t="str">
        <f t="shared" si="22"/>
        <v>1100</v>
      </c>
      <c r="C114" s="265"/>
      <c r="D114" s="339"/>
      <c r="E114" s="6">
        <f t="shared" si="26"/>
        <v>91</v>
      </c>
      <c r="F114" s="6">
        <v>3</v>
      </c>
      <c r="G114" s="12"/>
      <c r="H114" s="6">
        <v>11</v>
      </c>
      <c r="I114" s="244" t="e">
        <f t="shared" ca="1" si="27"/>
        <v>#N/A</v>
      </c>
      <c r="J114" s="7" t="s">
        <v>16</v>
      </c>
      <c r="K114" s="6"/>
      <c r="L114" s="244" t="e">
        <f ca="1">INDIRECT(ADDRESS(MATCH(K114,$A$1:$A$21,0),MATCH(#REF!,$A$3:$AE$3,0)))</f>
        <v>#N/A</v>
      </c>
      <c r="M114" s="12"/>
      <c r="N114" s="6">
        <v>1</v>
      </c>
      <c r="O114" s="268" t="e">
        <f t="shared" ca="1" si="28"/>
        <v>#N/A</v>
      </c>
      <c r="P114" s="252"/>
      <c r="Q114" s="253"/>
      <c r="R114" s="254" t="s">
        <v>15</v>
      </c>
      <c r="S114" s="255"/>
      <c r="T114" s="223" t="str">
        <f t="shared" si="29"/>
        <v/>
      </c>
      <c r="U114" s="7" t="s">
        <v>15</v>
      </c>
      <c r="V114" s="8" t="str">
        <f t="shared" si="30"/>
        <v/>
      </c>
      <c r="W114" s="6"/>
      <c r="X114" s="7" t="s">
        <v>37</v>
      </c>
      <c r="Y114" s="7" t="s">
        <v>37</v>
      </c>
      <c r="Z114" s="14" t="s">
        <v>91</v>
      </c>
      <c r="AF114" s="360"/>
      <c r="AG114" s="360"/>
      <c r="AH114" s="360"/>
    </row>
    <row r="115" spans="2:34" hidden="1" outlineLevel="1">
      <c r="B115" s="47" t="str">
        <f t="shared" si="22"/>
        <v>1200</v>
      </c>
      <c r="C115" s="265"/>
      <c r="D115" s="339"/>
      <c r="E115" s="6">
        <f>+E114+1</f>
        <v>92</v>
      </c>
      <c r="F115" s="6">
        <v>4</v>
      </c>
      <c r="G115" s="12"/>
      <c r="H115" s="6">
        <v>12</v>
      </c>
      <c r="I115" s="244" t="e">
        <f t="shared" ca="1" si="27"/>
        <v>#N/A</v>
      </c>
      <c r="J115" s="7" t="s">
        <v>16</v>
      </c>
      <c r="K115" s="6"/>
      <c r="L115" s="244" t="e">
        <f ca="1">INDIRECT(ADDRESS(MATCH(K115,$A$1:$A$21,0),MATCH(#REF!,$A$3:$AE$3,0)))</f>
        <v>#N/A</v>
      </c>
      <c r="M115" s="12"/>
      <c r="N115" s="6">
        <v>2</v>
      </c>
      <c r="O115" s="268" t="e">
        <f t="shared" ca="1" si="28"/>
        <v>#N/A</v>
      </c>
      <c r="P115" s="252"/>
      <c r="Q115" s="253"/>
      <c r="R115" s="254" t="s">
        <v>15</v>
      </c>
      <c r="S115" s="255"/>
      <c r="T115" s="223" t="str">
        <f t="shared" si="29"/>
        <v/>
      </c>
      <c r="U115" s="7" t="s">
        <v>15</v>
      </c>
      <c r="V115" s="8" t="str">
        <f t="shared" si="30"/>
        <v/>
      </c>
      <c r="W115" s="6"/>
      <c r="X115" s="7" t="s">
        <v>37</v>
      </c>
      <c r="Y115" s="7" t="s">
        <v>37</v>
      </c>
      <c r="Z115" s="14" t="s">
        <v>91</v>
      </c>
      <c r="AF115" s="360"/>
      <c r="AG115" s="360"/>
      <c r="AH115" s="360"/>
    </row>
    <row r="116" spans="2:34" hidden="1" outlineLevel="1">
      <c r="B116" s="47" t="str">
        <f t="shared" si="22"/>
        <v>0000</v>
      </c>
      <c r="C116" s="265">
        <f>+C112+1</f>
        <v>26</v>
      </c>
      <c r="D116" s="339">
        <f>+Daten!N27</f>
        <v>0.79513888888888951</v>
      </c>
      <c r="E116" s="6">
        <f>+E114+1</f>
        <v>92</v>
      </c>
      <c r="F116" s="6">
        <v>1</v>
      </c>
      <c r="G116" s="12"/>
      <c r="H116" s="6"/>
      <c r="I116" s="244" t="e">
        <f t="shared" ca="1" si="27"/>
        <v>#N/A</v>
      </c>
      <c r="J116" s="7" t="s">
        <v>16</v>
      </c>
      <c r="K116" s="6"/>
      <c r="L116" s="244" t="e">
        <f ca="1">INDIRECT(ADDRESS(MATCH(K116,$A$1:$A$21,0),MATCH(#REF!,$A$3:$AE$3,0)))</f>
        <v>#N/A</v>
      </c>
      <c r="M116" s="12"/>
      <c r="N116" s="6"/>
      <c r="O116" s="244" t="e">
        <f t="shared" ca="1" si="28"/>
        <v>#N/A</v>
      </c>
      <c r="P116" s="252"/>
      <c r="Q116" s="253"/>
      <c r="R116" s="254" t="s">
        <v>15</v>
      </c>
      <c r="S116" s="255"/>
      <c r="T116" s="223" t="str">
        <f t="shared" si="29"/>
        <v/>
      </c>
      <c r="U116" s="7" t="s">
        <v>15</v>
      </c>
      <c r="V116" s="8" t="str">
        <f t="shared" si="30"/>
        <v/>
      </c>
      <c r="W116" s="58"/>
      <c r="X116" s="7" t="s">
        <v>37</v>
      </c>
      <c r="Y116" s="7" t="s">
        <v>37</v>
      </c>
      <c r="Z116" s="14" t="s">
        <v>92</v>
      </c>
      <c r="AF116" s="360"/>
      <c r="AG116" s="360"/>
      <c r="AH116" s="360"/>
    </row>
    <row r="117" spans="2:34" hidden="1" outlineLevel="1">
      <c r="B117" s="47" t="str">
        <f t="shared" si="22"/>
        <v>0000</v>
      </c>
      <c r="C117" s="265"/>
      <c r="D117" s="339"/>
      <c r="E117" s="6">
        <f t="shared" si="26"/>
        <v>93</v>
      </c>
      <c r="F117" s="6">
        <v>2</v>
      </c>
      <c r="G117" s="12"/>
      <c r="H117" s="6"/>
      <c r="I117" s="244" t="e">
        <f t="shared" ca="1" si="27"/>
        <v>#N/A</v>
      </c>
      <c r="J117" s="7" t="s">
        <v>16</v>
      </c>
      <c r="K117" s="6"/>
      <c r="L117" s="244" t="e">
        <f ca="1">INDIRECT(ADDRESS(MATCH(K117,$A$1:$A$21,0),MATCH(#REF!,$A$3:$AE$3,0)))</f>
        <v>#N/A</v>
      </c>
      <c r="M117" s="12"/>
      <c r="N117" s="6"/>
      <c r="O117" s="244" t="e">
        <f t="shared" ca="1" si="28"/>
        <v>#N/A</v>
      </c>
      <c r="P117" s="252"/>
      <c r="Q117" s="253"/>
      <c r="R117" s="254" t="s">
        <v>15</v>
      </c>
      <c r="S117" s="255"/>
      <c r="T117" s="223" t="str">
        <f t="shared" si="29"/>
        <v/>
      </c>
      <c r="U117" s="7" t="s">
        <v>15</v>
      </c>
      <c r="V117" s="8" t="str">
        <f t="shared" si="30"/>
        <v/>
      </c>
      <c r="W117" s="58"/>
      <c r="X117" s="7" t="s">
        <v>37</v>
      </c>
      <c r="Y117" s="7" t="s">
        <v>37</v>
      </c>
      <c r="Z117" s="14" t="s">
        <v>92</v>
      </c>
      <c r="AF117" s="360"/>
      <c r="AG117" s="360"/>
      <c r="AH117" s="360"/>
    </row>
    <row r="118" spans="2:34" hidden="1" outlineLevel="1">
      <c r="B118" s="47" t="str">
        <f t="shared" si="22"/>
        <v>0000</v>
      </c>
      <c r="C118" s="265"/>
      <c r="D118" s="339"/>
      <c r="E118" s="6">
        <f t="shared" si="26"/>
        <v>94</v>
      </c>
      <c r="F118" s="6">
        <v>3</v>
      </c>
      <c r="G118" s="12"/>
      <c r="H118" s="6"/>
      <c r="I118" s="244" t="e">
        <f t="shared" ca="1" si="27"/>
        <v>#N/A</v>
      </c>
      <c r="J118" s="7" t="s">
        <v>16</v>
      </c>
      <c r="K118" s="6"/>
      <c r="L118" s="244" t="e">
        <f ca="1">INDIRECT(ADDRESS(MATCH(K118,$A$1:$A$21,0),MATCH(#REF!,$A$3:$AE$3,0)))</f>
        <v>#N/A</v>
      </c>
      <c r="M118" s="12"/>
      <c r="N118" s="6"/>
      <c r="O118" s="244" t="e">
        <f t="shared" ca="1" si="28"/>
        <v>#N/A</v>
      </c>
      <c r="P118" s="252"/>
      <c r="Q118" s="253"/>
      <c r="R118" s="254" t="s">
        <v>15</v>
      </c>
      <c r="S118" s="255"/>
      <c r="T118" s="223" t="str">
        <f t="shared" si="29"/>
        <v/>
      </c>
      <c r="U118" s="7" t="s">
        <v>15</v>
      </c>
      <c r="V118" s="8" t="str">
        <f t="shared" si="30"/>
        <v/>
      </c>
      <c r="W118" s="58"/>
      <c r="X118" s="7" t="s">
        <v>37</v>
      </c>
      <c r="Y118" s="7" t="s">
        <v>37</v>
      </c>
      <c r="Z118" s="14" t="s">
        <v>93</v>
      </c>
      <c r="AF118" s="360"/>
      <c r="AG118" s="360"/>
      <c r="AH118" s="360"/>
    </row>
    <row r="119" spans="2:34" hidden="1" outlineLevel="1">
      <c r="B119" s="47" t="str">
        <f t="shared" si="22"/>
        <v>0000</v>
      </c>
      <c r="C119" s="265"/>
      <c r="D119" s="339"/>
      <c r="E119" s="6">
        <f t="shared" si="26"/>
        <v>95</v>
      </c>
      <c r="F119" s="6">
        <v>4</v>
      </c>
      <c r="G119" s="12"/>
      <c r="H119" s="6"/>
      <c r="I119" s="244" t="e">
        <f t="shared" ca="1" si="27"/>
        <v>#N/A</v>
      </c>
      <c r="J119" s="7" t="s">
        <v>16</v>
      </c>
      <c r="K119" s="6"/>
      <c r="L119" s="244" t="e">
        <f ca="1">INDIRECT(ADDRESS(MATCH(K119,$A$1:$A$21,0),MATCH(#REF!,$A$3:$AE$3,0)))</f>
        <v>#N/A</v>
      </c>
      <c r="M119" s="12"/>
      <c r="N119" s="6"/>
      <c r="O119" s="244" t="e">
        <f t="shared" ca="1" si="28"/>
        <v>#N/A</v>
      </c>
      <c r="P119" s="252"/>
      <c r="Q119" s="253"/>
      <c r="R119" s="254" t="s">
        <v>15</v>
      </c>
      <c r="S119" s="255"/>
      <c r="T119" s="223" t="str">
        <f t="shared" si="29"/>
        <v/>
      </c>
      <c r="U119" s="7" t="s">
        <v>15</v>
      </c>
      <c r="V119" s="8" t="str">
        <f t="shared" si="30"/>
        <v/>
      </c>
      <c r="W119" s="58"/>
      <c r="X119" s="7" t="s">
        <v>37</v>
      </c>
      <c r="Y119" s="7" t="s">
        <v>37</v>
      </c>
      <c r="Z119" s="14" t="s">
        <v>93</v>
      </c>
      <c r="AF119" s="360"/>
      <c r="AG119" s="360"/>
      <c r="AH119" s="360"/>
    </row>
    <row r="120" spans="2:34" hidden="1" outlineLevel="1">
      <c r="B120" s="47" t="str">
        <f t="shared" si="22"/>
        <v>0000</v>
      </c>
      <c r="C120" s="265">
        <f>+C116+1</f>
        <v>27</v>
      </c>
      <c r="D120" s="339">
        <f>+Daten!N28</f>
        <v>0.81250000000000067</v>
      </c>
      <c r="E120" s="6">
        <f t="shared" si="26"/>
        <v>96</v>
      </c>
      <c r="F120" s="6">
        <v>1</v>
      </c>
      <c r="G120" s="12"/>
      <c r="H120" s="6"/>
      <c r="I120" s="244" t="e">
        <f t="shared" ref="I120:I145" ca="1" si="31">INDIRECT(ADDRESS(MATCH(H120,$A$1:$A$21,0),MATCH(G120,$A$3:$AE$3,0)))</f>
        <v>#N/A</v>
      </c>
      <c r="J120" s="7" t="s">
        <v>16</v>
      </c>
      <c r="K120" s="6"/>
      <c r="L120" s="244" t="e">
        <f ca="1">INDIRECT(ADDRESS(MATCH(K120,$A$1:$A$21,0),MATCH(#REF!,$A$3:$AE$3,0)))</f>
        <v>#N/A</v>
      </c>
      <c r="M120" s="12"/>
      <c r="N120" s="6"/>
      <c r="O120" s="244" t="e">
        <f t="shared" ref="O120:O145" ca="1" si="32">INDIRECT(ADDRESS(MATCH(N120,$A$1:$A$21,0),MATCH(M120,$A$3:$AE$3,0)))</f>
        <v>#N/A</v>
      </c>
      <c r="P120" s="252"/>
      <c r="Q120" s="253"/>
      <c r="R120" s="254" t="s">
        <v>15</v>
      </c>
      <c r="S120" s="255"/>
      <c r="T120" s="223" t="str">
        <f t="shared" si="29"/>
        <v/>
      </c>
      <c r="U120" s="7" t="s">
        <v>15</v>
      </c>
      <c r="V120" s="8" t="str">
        <f t="shared" si="30"/>
        <v/>
      </c>
      <c r="W120" s="6"/>
      <c r="X120" s="7" t="s">
        <v>37</v>
      </c>
      <c r="Y120" s="7" t="s">
        <v>37</v>
      </c>
      <c r="Z120" s="14" t="s">
        <v>94</v>
      </c>
      <c r="AF120" s="360"/>
      <c r="AG120" s="360"/>
      <c r="AH120" s="360"/>
    </row>
    <row r="121" spans="2:34" hidden="1" outlineLevel="1">
      <c r="B121" s="47" t="str">
        <f t="shared" si="22"/>
        <v>0000</v>
      </c>
      <c r="C121" s="265"/>
      <c r="D121" s="339"/>
      <c r="E121" s="6">
        <f t="shared" si="26"/>
        <v>97</v>
      </c>
      <c r="F121" s="6">
        <v>2</v>
      </c>
      <c r="G121" s="12"/>
      <c r="H121" s="6"/>
      <c r="I121" s="244" t="e">
        <f t="shared" ca="1" si="31"/>
        <v>#N/A</v>
      </c>
      <c r="J121" s="7" t="s">
        <v>16</v>
      </c>
      <c r="K121" s="6"/>
      <c r="L121" s="244" t="e">
        <f ca="1">INDIRECT(ADDRESS(MATCH(K121,$A$1:$A$21,0),MATCH(#REF!,$A$3:$AE$3,0)))</f>
        <v>#N/A</v>
      </c>
      <c r="M121" s="12"/>
      <c r="N121" s="6"/>
      <c r="O121" s="244" t="e">
        <f t="shared" ca="1" si="32"/>
        <v>#N/A</v>
      </c>
      <c r="P121" s="252"/>
      <c r="Q121" s="253"/>
      <c r="R121" s="254" t="s">
        <v>15</v>
      </c>
      <c r="S121" s="255"/>
      <c r="T121" s="223" t="str">
        <f t="shared" si="29"/>
        <v/>
      </c>
      <c r="U121" s="7" t="s">
        <v>15</v>
      </c>
      <c r="V121" s="8" t="str">
        <f t="shared" si="30"/>
        <v/>
      </c>
      <c r="W121" s="6"/>
      <c r="X121" s="7" t="s">
        <v>37</v>
      </c>
      <c r="Y121" s="7" t="s">
        <v>37</v>
      </c>
      <c r="Z121" s="14" t="s">
        <v>94</v>
      </c>
      <c r="AF121" s="360"/>
      <c r="AG121" s="360"/>
      <c r="AH121" s="360"/>
    </row>
    <row r="122" spans="2:34" hidden="1" outlineLevel="1">
      <c r="B122" s="47" t="str">
        <f t="shared" si="22"/>
        <v>0000</v>
      </c>
      <c r="C122" s="265"/>
      <c r="D122" s="339"/>
      <c r="E122" s="6">
        <f t="shared" si="26"/>
        <v>98</v>
      </c>
      <c r="F122" s="6">
        <v>3</v>
      </c>
      <c r="G122" s="12"/>
      <c r="H122" s="6"/>
      <c r="I122" s="244" t="e">
        <f t="shared" ca="1" si="31"/>
        <v>#N/A</v>
      </c>
      <c r="J122" s="7" t="s">
        <v>16</v>
      </c>
      <c r="K122" s="6"/>
      <c r="L122" s="244" t="e">
        <f ca="1">INDIRECT(ADDRESS(MATCH(K122,$A$1:$A$21,0),MATCH(#REF!,$A$3:$AE$3,0)))</f>
        <v>#N/A</v>
      </c>
      <c r="M122" s="12"/>
      <c r="N122" s="6"/>
      <c r="O122" s="244" t="e">
        <f t="shared" ca="1" si="32"/>
        <v>#N/A</v>
      </c>
      <c r="P122" s="252"/>
      <c r="Q122" s="253"/>
      <c r="R122" s="254" t="s">
        <v>15</v>
      </c>
      <c r="S122" s="255"/>
      <c r="T122" s="223" t="str">
        <f t="shared" si="29"/>
        <v/>
      </c>
      <c r="U122" s="7" t="s">
        <v>15</v>
      </c>
      <c r="V122" s="8" t="str">
        <f t="shared" si="30"/>
        <v/>
      </c>
      <c r="W122" s="58"/>
      <c r="X122" s="7" t="s">
        <v>37</v>
      </c>
      <c r="Y122" s="7" t="s">
        <v>37</v>
      </c>
      <c r="Z122" s="14" t="s">
        <v>95</v>
      </c>
      <c r="AF122" s="360"/>
      <c r="AG122" s="360"/>
      <c r="AH122" s="360"/>
    </row>
    <row r="123" spans="2:34" hidden="1" outlineLevel="1">
      <c r="B123" s="47" t="str">
        <f t="shared" si="22"/>
        <v>0000</v>
      </c>
      <c r="C123" s="265"/>
      <c r="D123" s="339"/>
      <c r="E123" s="6"/>
      <c r="F123" s="6">
        <v>4</v>
      </c>
      <c r="G123" s="12"/>
      <c r="H123" s="6"/>
      <c r="I123" s="244" t="e">
        <f t="shared" ca="1" si="31"/>
        <v>#N/A</v>
      </c>
      <c r="J123" s="7" t="s">
        <v>16</v>
      </c>
      <c r="K123" s="6"/>
      <c r="L123" s="244" t="e">
        <f ca="1">INDIRECT(ADDRESS(MATCH(K123,$A$1:$A$21,0),MATCH(#REF!,$A$3:$AE$3,0)))</f>
        <v>#N/A</v>
      </c>
      <c r="M123" s="12"/>
      <c r="N123" s="6"/>
      <c r="O123" s="244" t="e">
        <f t="shared" ca="1" si="32"/>
        <v>#N/A</v>
      </c>
      <c r="P123" s="252"/>
      <c r="Q123" s="253"/>
      <c r="R123" s="254" t="s">
        <v>15</v>
      </c>
      <c r="S123" s="255"/>
      <c r="T123" s="223" t="str">
        <f t="shared" si="29"/>
        <v/>
      </c>
      <c r="U123" s="7" t="s">
        <v>15</v>
      </c>
      <c r="V123" s="8" t="str">
        <f t="shared" si="30"/>
        <v/>
      </c>
      <c r="W123" s="58"/>
      <c r="X123" s="7" t="s">
        <v>37</v>
      </c>
      <c r="Y123" s="7" t="s">
        <v>37</v>
      </c>
      <c r="Z123" s="14" t="s">
        <v>95</v>
      </c>
      <c r="AF123" s="360"/>
      <c r="AG123" s="360"/>
      <c r="AH123" s="360"/>
    </row>
    <row r="124" spans="2:34" hidden="1" outlineLevel="1">
      <c r="B124" s="47" t="s">
        <v>113</v>
      </c>
      <c r="C124" s="265">
        <f>+C120+1</f>
        <v>28</v>
      </c>
      <c r="D124" s="339">
        <f>+Daten!N29</f>
        <v>0.82986111111111183</v>
      </c>
      <c r="E124" s="6">
        <f>+E122+1</f>
        <v>99</v>
      </c>
      <c r="F124" s="6">
        <v>1</v>
      </c>
      <c r="G124" s="12"/>
      <c r="H124" s="6"/>
      <c r="I124" s="244" t="e">
        <f t="shared" ca="1" si="31"/>
        <v>#N/A</v>
      </c>
      <c r="J124" s="7" t="s">
        <v>16</v>
      </c>
      <c r="K124" s="6"/>
      <c r="L124" s="244" t="e">
        <f ca="1">INDIRECT(ADDRESS(MATCH(K124,$A$1:$A$21,0),MATCH(#REF!,$A$3:$AE$3,0)))</f>
        <v>#N/A</v>
      </c>
      <c r="M124" s="12"/>
      <c r="N124" s="6"/>
      <c r="O124" s="244" t="e">
        <f t="shared" ca="1" si="32"/>
        <v>#N/A</v>
      </c>
      <c r="P124" s="252"/>
      <c r="Q124" s="253"/>
      <c r="R124" s="254" t="s">
        <v>15</v>
      </c>
      <c r="S124" s="255"/>
      <c r="T124" s="223" t="str">
        <f t="shared" si="29"/>
        <v/>
      </c>
      <c r="U124" s="7" t="s">
        <v>15</v>
      </c>
      <c r="V124" s="8" t="str">
        <f t="shared" si="30"/>
        <v/>
      </c>
      <c r="W124" s="58"/>
      <c r="X124" s="7" t="s">
        <v>37</v>
      </c>
      <c r="Y124" s="7" t="s">
        <v>37</v>
      </c>
      <c r="Z124" s="14" t="s">
        <v>96</v>
      </c>
      <c r="AB124" s="56" t="s">
        <v>118</v>
      </c>
      <c r="AF124" s="360"/>
      <c r="AG124" s="360"/>
      <c r="AH124" s="360"/>
    </row>
    <row r="125" spans="2:34" hidden="1" outlineLevel="1">
      <c r="B125" s="47" t="s">
        <v>114</v>
      </c>
      <c r="C125" s="265"/>
      <c r="D125" s="339"/>
      <c r="E125" s="6">
        <f t="shared" si="26"/>
        <v>100</v>
      </c>
      <c r="F125" s="6">
        <v>2</v>
      </c>
      <c r="G125" s="12"/>
      <c r="H125" s="6"/>
      <c r="I125" s="244" t="e">
        <f t="shared" ca="1" si="31"/>
        <v>#N/A</v>
      </c>
      <c r="J125" s="7" t="s">
        <v>16</v>
      </c>
      <c r="K125" s="6"/>
      <c r="L125" s="244" t="e">
        <f ca="1">INDIRECT(ADDRESS(MATCH(K125,$A$1:$A$21,0),MATCH(#REF!,$A$3:$AE$3,0)))</f>
        <v>#N/A</v>
      </c>
      <c r="M125" s="12"/>
      <c r="N125" s="6"/>
      <c r="O125" s="244" t="e">
        <f t="shared" ca="1" si="32"/>
        <v>#N/A</v>
      </c>
      <c r="P125" s="252"/>
      <c r="Q125" s="253"/>
      <c r="R125" s="254" t="s">
        <v>15</v>
      </c>
      <c r="S125" s="255"/>
      <c r="T125" s="223" t="str">
        <f t="shared" si="29"/>
        <v/>
      </c>
      <c r="U125" s="7" t="s">
        <v>15</v>
      </c>
      <c r="V125" s="8" t="str">
        <f t="shared" si="30"/>
        <v/>
      </c>
      <c r="W125" s="58"/>
      <c r="X125" s="7" t="s">
        <v>37</v>
      </c>
      <c r="Y125" s="7" t="s">
        <v>37</v>
      </c>
      <c r="Z125" s="14" t="s">
        <v>96</v>
      </c>
      <c r="AB125" s="56" t="s">
        <v>117</v>
      </c>
      <c r="AF125" s="360"/>
      <c r="AG125" s="360"/>
      <c r="AH125" s="360"/>
    </row>
    <row r="126" spans="2:34" hidden="1" outlineLevel="1">
      <c r="B126" s="47" t="str">
        <f t="shared" ref="B126:B150" si="33">G126&amp;TEXT(H126,"00")&amp;TEXT(K126,"00")</f>
        <v>0000</v>
      </c>
      <c r="C126" s="265"/>
      <c r="D126" s="339"/>
      <c r="E126" s="6">
        <f t="shared" si="26"/>
        <v>101</v>
      </c>
      <c r="F126" s="6">
        <v>3</v>
      </c>
      <c r="G126" s="12"/>
      <c r="H126" s="6"/>
      <c r="I126" s="244" t="e">
        <f t="shared" ca="1" si="31"/>
        <v>#N/A</v>
      </c>
      <c r="J126" s="7" t="s">
        <v>16</v>
      </c>
      <c r="K126" s="6"/>
      <c r="L126" s="244" t="e">
        <f ca="1">INDIRECT(ADDRESS(MATCH(K126,$A$1:$A$21,0),MATCH(#REF!,$A$3:$AE$3,0)))</f>
        <v>#N/A</v>
      </c>
      <c r="M126" s="12"/>
      <c r="N126" s="6"/>
      <c r="O126" s="244" t="e">
        <f t="shared" ca="1" si="32"/>
        <v>#N/A</v>
      </c>
      <c r="P126" s="252"/>
      <c r="Q126" s="253"/>
      <c r="R126" s="254" t="s">
        <v>15</v>
      </c>
      <c r="S126" s="255"/>
      <c r="T126" s="223" t="str">
        <f t="shared" si="29"/>
        <v/>
      </c>
      <c r="U126" s="7" t="s">
        <v>15</v>
      </c>
      <c r="V126" s="8" t="str">
        <f t="shared" si="30"/>
        <v/>
      </c>
      <c r="W126" s="6"/>
      <c r="X126" s="7" t="s">
        <v>37</v>
      </c>
      <c r="Y126" s="7" t="s">
        <v>37</v>
      </c>
      <c r="Z126" s="14" t="s">
        <v>97</v>
      </c>
      <c r="AF126" s="360"/>
      <c r="AG126" s="360"/>
      <c r="AH126" s="360"/>
    </row>
    <row r="127" spans="2:34" hidden="1" outlineLevel="1">
      <c r="B127" s="47" t="str">
        <f t="shared" si="33"/>
        <v>0000</v>
      </c>
      <c r="C127" s="265"/>
      <c r="D127" s="339"/>
      <c r="E127" s="6">
        <f t="shared" si="26"/>
        <v>102</v>
      </c>
      <c r="F127" s="6">
        <v>4</v>
      </c>
      <c r="G127" s="12"/>
      <c r="H127" s="6"/>
      <c r="I127" s="244" t="e">
        <f t="shared" ca="1" si="31"/>
        <v>#N/A</v>
      </c>
      <c r="J127" s="7" t="s">
        <v>16</v>
      </c>
      <c r="K127" s="6"/>
      <c r="L127" s="244" t="e">
        <f ca="1">INDIRECT(ADDRESS(MATCH(K127,$A$1:$A$21,0),MATCH(#REF!,$A$3:$AE$3,0)))</f>
        <v>#N/A</v>
      </c>
      <c r="M127" s="12"/>
      <c r="N127" s="6"/>
      <c r="O127" s="244" t="e">
        <f t="shared" ca="1" si="32"/>
        <v>#N/A</v>
      </c>
      <c r="P127" s="252"/>
      <c r="Q127" s="253"/>
      <c r="R127" s="254" t="s">
        <v>15</v>
      </c>
      <c r="S127" s="255"/>
      <c r="T127" s="223" t="str">
        <f t="shared" si="29"/>
        <v/>
      </c>
      <c r="U127" s="7" t="s">
        <v>15</v>
      </c>
      <c r="V127" s="8" t="str">
        <f t="shared" si="30"/>
        <v/>
      </c>
      <c r="W127" s="6"/>
      <c r="X127" s="7" t="s">
        <v>37</v>
      </c>
      <c r="Y127" s="7" t="s">
        <v>37</v>
      </c>
      <c r="Z127" s="14" t="s">
        <v>97</v>
      </c>
      <c r="AF127" s="360"/>
      <c r="AG127" s="360"/>
      <c r="AH127" s="360"/>
    </row>
    <row r="128" spans="2:34" hidden="1" outlineLevel="1">
      <c r="B128" s="47" t="str">
        <f t="shared" si="33"/>
        <v>0000</v>
      </c>
      <c r="C128" s="265"/>
      <c r="D128" s="339"/>
      <c r="E128" s="6">
        <f t="shared" si="26"/>
        <v>103</v>
      </c>
      <c r="F128" s="6">
        <v>5</v>
      </c>
      <c r="G128" s="12"/>
      <c r="H128" s="6"/>
      <c r="I128" s="244" t="e">
        <f t="shared" ca="1" si="31"/>
        <v>#N/A</v>
      </c>
      <c r="J128" s="7" t="s">
        <v>16</v>
      </c>
      <c r="K128" s="6"/>
      <c r="L128" s="244" t="e">
        <f ca="1">INDIRECT(ADDRESS(MATCH(K128,$A$1:$A$21,0),MATCH(#REF!,$A$3:$AE$3,0)))</f>
        <v>#N/A</v>
      </c>
      <c r="M128" s="12"/>
      <c r="N128" s="6"/>
      <c r="O128" s="268" t="e">
        <f t="shared" ca="1" si="32"/>
        <v>#N/A</v>
      </c>
      <c r="P128" s="252"/>
      <c r="Q128" s="253"/>
      <c r="R128" s="254" t="s">
        <v>15</v>
      </c>
      <c r="S128" s="255"/>
      <c r="T128" s="223" t="str">
        <f t="shared" si="29"/>
        <v/>
      </c>
      <c r="U128" s="7" t="s">
        <v>15</v>
      </c>
      <c r="V128" s="8" t="str">
        <f t="shared" si="30"/>
        <v/>
      </c>
      <c r="W128" s="58"/>
      <c r="X128" s="7" t="s">
        <v>37</v>
      </c>
      <c r="Y128" s="7" t="s">
        <v>37</v>
      </c>
      <c r="Z128" s="14" t="s">
        <v>98</v>
      </c>
      <c r="AF128" s="360"/>
      <c r="AG128" s="360"/>
      <c r="AH128" s="360"/>
    </row>
    <row r="129" spans="2:34" hidden="1" outlineLevel="1">
      <c r="B129" s="47" t="str">
        <f t="shared" si="33"/>
        <v>0000</v>
      </c>
      <c r="C129" s="265">
        <f>+C124+1</f>
        <v>29</v>
      </c>
      <c r="D129" s="339">
        <f>+Daten!N29</f>
        <v>0.82986111111111183</v>
      </c>
      <c r="E129" s="6">
        <f t="shared" si="26"/>
        <v>104</v>
      </c>
      <c r="F129" s="6">
        <v>1</v>
      </c>
      <c r="G129" s="12"/>
      <c r="H129" s="6"/>
      <c r="I129" s="244" t="e">
        <f t="shared" ca="1" si="31"/>
        <v>#N/A</v>
      </c>
      <c r="J129" s="7" t="s">
        <v>16</v>
      </c>
      <c r="K129" s="6"/>
      <c r="L129" s="244" t="e">
        <f ca="1">INDIRECT(ADDRESS(MATCH(K129,$A$1:$A$21,0),MATCH(#REF!,$A$3:$AE$3,0)))</f>
        <v>#N/A</v>
      </c>
      <c r="M129" s="12"/>
      <c r="N129" s="6"/>
      <c r="O129" s="268" t="e">
        <f t="shared" ca="1" si="32"/>
        <v>#N/A</v>
      </c>
      <c r="P129" s="252"/>
      <c r="Q129" s="253"/>
      <c r="R129" s="254" t="s">
        <v>15</v>
      </c>
      <c r="S129" s="255"/>
      <c r="T129" s="223" t="str">
        <f t="shared" si="29"/>
        <v/>
      </c>
      <c r="U129" s="7" t="s">
        <v>15</v>
      </c>
      <c r="V129" s="8" t="str">
        <f t="shared" si="30"/>
        <v/>
      </c>
      <c r="W129" s="58"/>
      <c r="X129" s="7" t="s">
        <v>37</v>
      </c>
      <c r="Y129" s="7" t="s">
        <v>37</v>
      </c>
      <c r="Z129" s="14" t="s">
        <v>98</v>
      </c>
      <c r="AF129" s="360"/>
      <c r="AG129" s="360"/>
      <c r="AH129" s="360"/>
    </row>
    <row r="130" spans="2:34" hidden="1" outlineLevel="1">
      <c r="B130" s="47" t="str">
        <f t="shared" si="33"/>
        <v>0000</v>
      </c>
      <c r="C130" s="265"/>
      <c r="D130" s="339"/>
      <c r="E130" s="6">
        <f t="shared" si="26"/>
        <v>105</v>
      </c>
      <c r="F130" s="6">
        <v>2</v>
      </c>
      <c r="G130" s="12"/>
      <c r="H130" s="6"/>
      <c r="I130" s="244" t="e">
        <f t="shared" ca="1" si="31"/>
        <v>#N/A</v>
      </c>
      <c r="J130" s="7" t="s">
        <v>16</v>
      </c>
      <c r="K130" s="6"/>
      <c r="L130" s="244" t="e">
        <f ca="1">INDIRECT(ADDRESS(MATCH(K130,$A$1:$A$21,0),MATCH(#REF!,$A$3:$AE$3,0)))</f>
        <v>#N/A</v>
      </c>
      <c r="M130" s="12"/>
      <c r="N130" s="6"/>
      <c r="O130" s="268" t="e">
        <f t="shared" ca="1" si="32"/>
        <v>#N/A</v>
      </c>
      <c r="P130" s="252"/>
      <c r="Q130" s="253"/>
      <c r="R130" s="254" t="s">
        <v>15</v>
      </c>
      <c r="S130" s="255"/>
      <c r="T130" s="223" t="str">
        <f t="shared" si="29"/>
        <v/>
      </c>
      <c r="U130" s="7" t="s">
        <v>15</v>
      </c>
      <c r="V130" s="8" t="str">
        <f t="shared" si="30"/>
        <v/>
      </c>
      <c r="W130" s="58"/>
      <c r="X130" s="7" t="s">
        <v>37</v>
      </c>
      <c r="Y130" s="7" t="s">
        <v>37</v>
      </c>
      <c r="Z130" s="14" t="s">
        <v>99</v>
      </c>
      <c r="AF130" s="360"/>
      <c r="AG130" s="360"/>
      <c r="AH130" s="360"/>
    </row>
    <row r="131" spans="2:34" hidden="1" outlineLevel="1">
      <c r="B131" s="47" t="str">
        <f t="shared" si="33"/>
        <v>0000</v>
      </c>
      <c r="C131" s="265"/>
      <c r="D131" s="339"/>
      <c r="E131" s="6">
        <f t="shared" si="26"/>
        <v>106</v>
      </c>
      <c r="F131" s="6">
        <v>3</v>
      </c>
      <c r="G131" s="12"/>
      <c r="H131" s="6"/>
      <c r="I131" s="244" t="e">
        <f t="shared" ca="1" si="31"/>
        <v>#N/A</v>
      </c>
      <c r="J131" s="7" t="s">
        <v>16</v>
      </c>
      <c r="K131" s="6"/>
      <c r="L131" s="244" t="e">
        <f ca="1">INDIRECT(ADDRESS(MATCH(K131,$A$1:$A$21,0),MATCH(#REF!,$A$3:$AE$3,0)))</f>
        <v>#N/A</v>
      </c>
      <c r="M131" s="12"/>
      <c r="N131" s="6"/>
      <c r="O131" s="268" t="e">
        <f t="shared" ca="1" si="32"/>
        <v>#N/A</v>
      </c>
      <c r="P131" s="252"/>
      <c r="Q131" s="253"/>
      <c r="R131" s="254" t="s">
        <v>15</v>
      </c>
      <c r="S131" s="255"/>
      <c r="T131" s="223" t="str">
        <f t="shared" si="29"/>
        <v/>
      </c>
      <c r="U131" s="7" t="s">
        <v>15</v>
      </c>
      <c r="V131" s="8" t="str">
        <f t="shared" si="30"/>
        <v/>
      </c>
      <c r="W131" s="58"/>
      <c r="X131" s="7" t="s">
        <v>37</v>
      </c>
      <c r="Y131" s="7" t="s">
        <v>37</v>
      </c>
      <c r="Z131" s="14" t="s">
        <v>99</v>
      </c>
      <c r="AF131" s="360"/>
      <c r="AG131" s="360"/>
      <c r="AH131" s="360"/>
    </row>
    <row r="132" spans="2:34" hidden="1" outlineLevel="1">
      <c r="B132" s="47" t="str">
        <f t="shared" si="33"/>
        <v>0000</v>
      </c>
      <c r="C132" s="265"/>
      <c r="D132" s="339"/>
      <c r="E132" s="6">
        <f t="shared" si="26"/>
        <v>107</v>
      </c>
      <c r="F132" s="6">
        <v>4</v>
      </c>
      <c r="G132" s="12"/>
      <c r="H132" s="6"/>
      <c r="I132" s="244" t="e">
        <f t="shared" ca="1" si="31"/>
        <v>#N/A</v>
      </c>
      <c r="J132" s="7" t="s">
        <v>16</v>
      </c>
      <c r="K132" s="6"/>
      <c r="L132" s="244" t="e">
        <f ca="1">INDIRECT(ADDRESS(MATCH(K132,$A$1:$A$21,0),MATCH(#REF!,$A$3:$AE$3,0)))</f>
        <v>#N/A</v>
      </c>
      <c r="M132" s="12"/>
      <c r="N132" s="6"/>
      <c r="O132" s="244" t="e">
        <f t="shared" ca="1" si="32"/>
        <v>#N/A</v>
      </c>
      <c r="P132" s="252"/>
      <c r="Q132" s="253"/>
      <c r="R132" s="254" t="s">
        <v>15</v>
      </c>
      <c r="S132" s="255"/>
      <c r="T132" s="223" t="str">
        <f t="shared" si="29"/>
        <v/>
      </c>
      <c r="U132" s="7" t="s">
        <v>15</v>
      </c>
      <c r="V132" s="8" t="str">
        <f t="shared" si="30"/>
        <v/>
      </c>
      <c r="W132" s="6"/>
      <c r="X132" s="7" t="s">
        <v>37</v>
      </c>
      <c r="Y132" s="7" t="s">
        <v>37</v>
      </c>
      <c r="Z132" s="14" t="s">
        <v>100</v>
      </c>
      <c r="AF132" s="360"/>
      <c r="AG132" s="360"/>
      <c r="AH132" s="360"/>
    </row>
    <row r="133" spans="2:34" hidden="1" outlineLevel="1">
      <c r="B133" s="47" t="str">
        <f t="shared" si="33"/>
        <v>0000</v>
      </c>
      <c r="C133" s="265"/>
      <c r="D133" s="339"/>
      <c r="E133" s="6">
        <f t="shared" si="26"/>
        <v>108</v>
      </c>
      <c r="F133" s="6">
        <v>5</v>
      </c>
      <c r="G133" s="12"/>
      <c r="H133" s="6"/>
      <c r="I133" s="244" t="e">
        <f t="shared" ca="1" si="31"/>
        <v>#N/A</v>
      </c>
      <c r="J133" s="7" t="s">
        <v>16</v>
      </c>
      <c r="K133" s="6"/>
      <c r="L133" s="244" t="e">
        <f ca="1">INDIRECT(ADDRESS(MATCH(K133,$A$1:$A$21,0),MATCH(#REF!,$A$3:$AE$3,0)))</f>
        <v>#N/A</v>
      </c>
      <c r="M133" s="12"/>
      <c r="N133" s="6"/>
      <c r="O133" s="244" t="e">
        <f t="shared" ca="1" si="32"/>
        <v>#N/A</v>
      </c>
      <c r="P133" s="252"/>
      <c r="Q133" s="253"/>
      <c r="R133" s="254" t="s">
        <v>15</v>
      </c>
      <c r="S133" s="255"/>
      <c r="T133" s="223" t="str">
        <f t="shared" si="29"/>
        <v/>
      </c>
      <c r="U133" s="7" t="s">
        <v>15</v>
      </c>
      <c r="V133" s="8" t="str">
        <f t="shared" si="30"/>
        <v/>
      </c>
      <c r="W133" s="6"/>
      <c r="X133" s="7" t="s">
        <v>37</v>
      </c>
      <c r="Y133" s="7" t="s">
        <v>37</v>
      </c>
      <c r="Z133" s="14" t="s">
        <v>100</v>
      </c>
      <c r="AF133" s="360"/>
      <c r="AG133" s="360"/>
      <c r="AH133" s="360"/>
    </row>
    <row r="134" spans="2:34" hidden="1" outlineLevel="1">
      <c r="B134" s="47" t="str">
        <f t="shared" si="33"/>
        <v>0000</v>
      </c>
      <c r="C134" s="265">
        <f>+C129+1</f>
        <v>30</v>
      </c>
      <c r="D134" s="339">
        <f>+Daten!N32</f>
        <v>0.88194444444444531</v>
      </c>
      <c r="E134" s="6">
        <f t="shared" si="26"/>
        <v>109</v>
      </c>
      <c r="F134" s="6">
        <v>1</v>
      </c>
      <c r="G134" s="12"/>
      <c r="H134" s="6"/>
      <c r="I134" s="244" t="e">
        <f t="shared" ca="1" si="31"/>
        <v>#N/A</v>
      </c>
      <c r="J134" s="7" t="s">
        <v>16</v>
      </c>
      <c r="K134" s="6"/>
      <c r="L134" s="244" t="e">
        <f ca="1">INDIRECT(ADDRESS(MATCH(K134,$A$1:$A$21,0),MATCH(#REF!,$A$3:$AE$3,0)))</f>
        <v>#N/A</v>
      </c>
      <c r="M134" s="12"/>
      <c r="N134" s="6"/>
      <c r="O134" s="268" t="e">
        <f t="shared" ca="1" si="32"/>
        <v>#N/A</v>
      </c>
      <c r="P134" s="252"/>
      <c r="Q134" s="253"/>
      <c r="R134" s="254" t="s">
        <v>15</v>
      </c>
      <c r="S134" s="255"/>
      <c r="T134" s="223" t="str">
        <f t="shared" si="29"/>
        <v/>
      </c>
      <c r="U134" s="7" t="s">
        <v>15</v>
      </c>
      <c r="V134" s="8" t="str">
        <f t="shared" si="30"/>
        <v/>
      </c>
      <c r="W134" s="58"/>
      <c r="X134" s="7" t="s">
        <v>37</v>
      </c>
      <c r="Y134" s="7" t="s">
        <v>37</v>
      </c>
      <c r="Z134" s="14" t="s">
        <v>101</v>
      </c>
      <c r="AF134" s="360"/>
      <c r="AG134" s="360"/>
      <c r="AH134" s="360"/>
    </row>
    <row r="135" spans="2:34" hidden="1" outlineLevel="1">
      <c r="B135" s="47" t="str">
        <f t="shared" si="33"/>
        <v>0000</v>
      </c>
      <c r="C135" s="265"/>
      <c r="D135" s="339"/>
      <c r="E135" s="6">
        <f t="shared" si="26"/>
        <v>110</v>
      </c>
      <c r="F135" s="6">
        <v>2</v>
      </c>
      <c r="G135" s="12"/>
      <c r="H135" s="6"/>
      <c r="I135" s="244" t="e">
        <f t="shared" ca="1" si="31"/>
        <v>#N/A</v>
      </c>
      <c r="J135" s="7" t="s">
        <v>16</v>
      </c>
      <c r="K135" s="6"/>
      <c r="L135" s="244" t="e">
        <f ca="1">INDIRECT(ADDRESS(MATCH(K135,$A$1:$A$21,0),MATCH(#REF!,$A$3:$AE$3,0)))</f>
        <v>#N/A</v>
      </c>
      <c r="M135" s="12"/>
      <c r="N135" s="6"/>
      <c r="O135" s="268" t="e">
        <f t="shared" ca="1" si="32"/>
        <v>#N/A</v>
      </c>
      <c r="P135" s="252"/>
      <c r="Q135" s="253"/>
      <c r="R135" s="254" t="s">
        <v>15</v>
      </c>
      <c r="S135" s="255"/>
      <c r="T135" s="223" t="str">
        <f t="shared" si="29"/>
        <v/>
      </c>
      <c r="U135" s="7" t="s">
        <v>15</v>
      </c>
      <c r="V135" s="8" t="str">
        <f t="shared" si="30"/>
        <v/>
      </c>
      <c r="W135" s="58"/>
      <c r="X135" s="7" t="s">
        <v>37</v>
      </c>
      <c r="Y135" s="7" t="s">
        <v>37</v>
      </c>
      <c r="Z135" s="14" t="s">
        <v>101</v>
      </c>
      <c r="AF135" s="360"/>
      <c r="AG135" s="360"/>
      <c r="AH135" s="360"/>
    </row>
    <row r="136" spans="2:34" hidden="1" outlineLevel="1">
      <c r="B136" s="47" t="str">
        <f t="shared" si="33"/>
        <v>M500100</v>
      </c>
      <c r="C136" s="265"/>
      <c r="D136" s="339"/>
      <c r="E136" s="6">
        <f t="shared" si="26"/>
        <v>111</v>
      </c>
      <c r="F136" s="6">
        <v>3</v>
      </c>
      <c r="G136" s="12" t="s">
        <v>11</v>
      </c>
      <c r="H136" s="6">
        <v>1</v>
      </c>
      <c r="I136" s="244" t="e">
        <f t="shared" ca="1" si="31"/>
        <v>#N/A</v>
      </c>
      <c r="J136" s="7" t="s">
        <v>16</v>
      </c>
      <c r="K136" s="6"/>
      <c r="L136" s="244" t="e">
        <f ca="1">INDIRECT(ADDRESS(MATCH(K136,$A$1:$A$21,0),MATCH(#REF!,$A$3:$AE$3,0)))</f>
        <v>#N/A</v>
      </c>
      <c r="M136" s="12" t="s">
        <v>11</v>
      </c>
      <c r="N136" s="6">
        <v>4</v>
      </c>
      <c r="O136" s="268" t="e">
        <f t="shared" ca="1" si="32"/>
        <v>#N/A</v>
      </c>
      <c r="P136" s="252"/>
      <c r="Q136" s="253"/>
      <c r="R136" s="254" t="s">
        <v>15</v>
      </c>
      <c r="S136" s="255"/>
      <c r="T136" s="223" t="str">
        <f t="shared" si="29"/>
        <v/>
      </c>
      <c r="U136" s="7" t="s">
        <v>15</v>
      </c>
      <c r="V136" s="8" t="str">
        <f t="shared" si="30"/>
        <v/>
      </c>
      <c r="W136" s="244"/>
      <c r="X136" s="7" t="s">
        <v>37</v>
      </c>
      <c r="Y136" s="7" t="s">
        <v>37</v>
      </c>
      <c r="Z136" s="14" t="s">
        <v>102</v>
      </c>
      <c r="AF136" s="360"/>
      <c r="AG136" s="360"/>
      <c r="AH136" s="360"/>
    </row>
    <row r="137" spans="2:34" hidden="1" outlineLevel="1">
      <c r="B137" s="47" t="str">
        <f t="shared" si="33"/>
        <v>M500200</v>
      </c>
      <c r="C137" s="265"/>
      <c r="D137" s="339"/>
      <c r="E137" s="6">
        <f t="shared" si="26"/>
        <v>112</v>
      </c>
      <c r="F137" s="6">
        <v>4</v>
      </c>
      <c r="G137" s="12" t="s">
        <v>11</v>
      </c>
      <c r="H137" s="6">
        <v>2</v>
      </c>
      <c r="I137" s="244" t="e">
        <f t="shared" ca="1" si="31"/>
        <v>#N/A</v>
      </c>
      <c r="J137" s="7" t="s">
        <v>16</v>
      </c>
      <c r="K137" s="6"/>
      <c r="L137" s="244" t="e">
        <f ca="1">INDIRECT(ADDRESS(MATCH(K137,$A$1:$A$21,0),MATCH(#REF!,$A$3:$AE$3,0)))</f>
        <v>#N/A</v>
      </c>
      <c r="M137" s="12" t="s">
        <v>10</v>
      </c>
      <c r="N137" s="6">
        <v>3</v>
      </c>
      <c r="O137" s="268" t="e">
        <f t="shared" ca="1" si="32"/>
        <v>#N/A</v>
      </c>
      <c r="P137" s="252"/>
      <c r="Q137" s="253"/>
      <c r="R137" s="254" t="s">
        <v>15</v>
      </c>
      <c r="S137" s="255"/>
      <c r="T137" s="223" t="str">
        <f t="shared" si="29"/>
        <v/>
      </c>
      <c r="U137" s="7" t="s">
        <v>15</v>
      </c>
      <c r="V137" s="8" t="str">
        <f t="shared" si="30"/>
        <v/>
      </c>
      <c r="W137" s="58"/>
      <c r="X137" s="7" t="s">
        <v>37</v>
      </c>
      <c r="Y137" s="7" t="s">
        <v>37</v>
      </c>
      <c r="Z137" s="14" t="s">
        <v>102</v>
      </c>
      <c r="AF137" s="360"/>
      <c r="AG137" s="360"/>
      <c r="AH137" s="360"/>
    </row>
    <row r="138" spans="2:34" hidden="1" outlineLevel="1">
      <c r="B138" s="47" t="str">
        <f t="shared" si="33"/>
        <v>M501100</v>
      </c>
      <c r="C138" s="265"/>
      <c r="D138" s="339"/>
      <c r="E138" s="6">
        <f t="shared" si="26"/>
        <v>113</v>
      </c>
      <c r="F138" s="6">
        <v>5</v>
      </c>
      <c r="G138" s="12" t="s">
        <v>11</v>
      </c>
      <c r="H138" s="6">
        <v>11</v>
      </c>
      <c r="I138" s="244" t="e">
        <f t="shared" ca="1" si="31"/>
        <v>#N/A</v>
      </c>
      <c r="J138" s="7" t="s">
        <v>16</v>
      </c>
      <c r="K138" s="6"/>
      <c r="L138" s="244" t="e">
        <f ca="1">INDIRECT(ADDRESS(MATCH(K138,$A$1:$A$21,0),MATCH(#REF!,$A$3:$AE$3,0)))</f>
        <v>#N/A</v>
      </c>
      <c r="M138" s="12" t="s">
        <v>11</v>
      </c>
      <c r="N138" s="6">
        <v>14</v>
      </c>
      <c r="O138" s="268" t="e">
        <f t="shared" ca="1" si="32"/>
        <v>#N/A</v>
      </c>
      <c r="P138" s="252"/>
      <c r="Q138" s="253"/>
      <c r="R138" s="254" t="s">
        <v>15</v>
      </c>
      <c r="S138" s="255"/>
      <c r="T138" s="223" t="str">
        <f t="shared" si="29"/>
        <v/>
      </c>
      <c r="U138" s="7" t="s">
        <v>15</v>
      </c>
      <c r="V138" s="8" t="str">
        <f t="shared" si="30"/>
        <v/>
      </c>
      <c r="W138" s="6"/>
      <c r="X138" s="7" t="s">
        <v>37</v>
      </c>
      <c r="Y138" s="7" t="s">
        <v>37</v>
      </c>
      <c r="Z138" s="14" t="s">
        <v>103</v>
      </c>
      <c r="AF138" s="360"/>
      <c r="AG138" s="360"/>
      <c r="AH138" s="360"/>
    </row>
    <row r="139" spans="2:34" hidden="1" outlineLevel="1">
      <c r="B139" s="47" t="str">
        <f t="shared" si="33"/>
        <v>0000</v>
      </c>
      <c r="C139" s="265">
        <f>+C134+1</f>
        <v>31</v>
      </c>
      <c r="D139" s="339">
        <f>+Daten!N33</f>
        <v>0.89930555555555647</v>
      </c>
      <c r="E139" s="6">
        <f t="shared" si="26"/>
        <v>114</v>
      </c>
      <c r="F139" s="6">
        <v>1</v>
      </c>
      <c r="G139" s="12"/>
      <c r="H139" s="6"/>
      <c r="I139" s="244" t="e">
        <f t="shared" ca="1" si="31"/>
        <v>#N/A</v>
      </c>
      <c r="J139" s="7" t="s">
        <v>16</v>
      </c>
      <c r="K139" s="6"/>
      <c r="L139" s="244" t="e">
        <f ca="1">INDIRECT(ADDRESS(MATCH(K139,$A$1:$A$21,0),MATCH(#REF!,$A$3:$AE$3,0)))</f>
        <v>#N/A</v>
      </c>
      <c r="M139" s="12"/>
      <c r="N139" s="6"/>
      <c r="O139" s="268" t="e">
        <f t="shared" ca="1" si="32"/>
        <v>#N/A</v>
      </c>
      <c r="P139" s="252"/>
      <c r="Q139" s="253"/>
      <c r="R139" s="254" t="s">
        <v>15</v>
      </c>
      <c r="S139" s="255"/>
      <c r="T139" s="223" t="str">
        <f t="shared" si="29"/>
        <v/>
      </c>
      <c r="U139" s="7" t="s">
        <v>15</v>
      </c>
      <c r="V139" s="8" t="str">
        <f t="shared" si="30"/>
        <v/>
      </c>
      <c r="W139" s="6"/>
      <c r="X139" s="7" t="s">
        <v>37</v>
      </c>
      <c r="Y139" s="7" t="s">
        <v>37</v>
      </c>
      <c r="Z139" s="14" t="s">
        <v>103</v>
      </c>
      <c r="AF139" s="360"/>
      <c r="AG139" s="360"/>
      <c r="AH139" s="360"/>
    </row>
    <row r="140" spans="2:34" hidden="1" outlineLevel="1">
      <c r="B140" s="47" t="str">
        <f t="shared" si="33"/>
        <v>F300300</v>
      </c>
      <c r="C140" s="265"/>
      <c r="D140" s="339"/>
      <c r="E140" s="6">
        <f t="shared" si="26"/>
        <v>115</v>
      </c>
      <c r="F140" s="6">
        <v>2</v>
      </c>
      <c r="G140" s="12" t="s">
        <v>10</v>
      </c>
      <c r="H140" s="6">
        <v>3</v>
      </c>
      <c r="I140" s="244" t="e">
        <f t="shared" ca="1" si="31"/>
        <v>#N/A</v>
      </c>
      <c r="J140" s="7" t="s">
        <v>16</v>
      </c>
      <c r="K140" s="6"/>
      <c r="L140" s="244" t="e">
        <f ca="1">INDIRECT(ADDRESS(MATCH(K140,$A$1:$A$21,0),MATCH(#REF!,$A$3:$AE$3,0)))</f>
        <v>#N/A</v>
      </c>
      <c r="M140" s="12" t="s">
        <v>11</v>
      </c>
      <c r="N140" s="6">
        <v>1</v>
      </c>
      <c r="O140" s="244" t="e">
        <f t="shared" ca="1" si="32"/>
        <v>#N/A</v>
      </c>
      <c r="P140" s="252"/>
      <c r="Q140" s="253"/>
      <c r="R140" s="254" t="s">
        <v>15</v>
      </c>
      <c r="S140" s="255"/>
      <c r="T140" s="223" t="str">
        <f t="shared" si="29"/>
        <v/>
      </c>
      <c r="U140" s="7" t="s">
        <v>15</v>
      </c>
      <c r="V140" s="8" t="str">
        <f t="shared" si="30"/>
        <v/>
      </c>
      <c r="W140" s="58"/>
      <c r="X140" s="7" t="s">
        <v>37</v>
      </c>
      <c r="Y140" s="7" t="s">
        <v>37</v>
      </c>
      <c r="Z140" s="14" t="s">
        <v>104</v>
      </c>
      <c r="AF140" s="360"/>
      <c r="AG140" s="360"/>
      <c r="AH140" s="360"/>
    </row>
    <row r="141" spans="2:34" hidden="1" outlineLevel="1">
      <c r="B141" s="47" t="str">
        <f t="shared" si="33"/>
        <v>F300200</v>
      </c>
      <c r="C141" s="265"/>
      <c r="D141" s="339"/>
      <c r="E141" s="6">
        <f t="shared" si="26"/>
        <v>116</v>
      </c>
      <c r="F141" s="6">
        <v>3</v>
      </c>
      <c r="G141" s="12" t="s">
        <v>10</v>
      </c>
      <c r="H141" s="6">
        <v>2</v>
      </c>
      <c r="I141" s="244" t="e">
        <f t="shared" ca="1" si="31"/>
        <v>#N/A</v>
      </c>
      <c r="J141" s="7" t="s">
        <v>16</v>
      </c>
      <c r="K141" s="6"/>
      <c r="L141" s="244" t="e">
        <f ca="1">INDIRECT(ADDRESS(MATCH(K141,$A$1:$A$21,0),MATCH(#REF!,$A$3:$AE$3,0)))</f>
        <v>#N/A</v>
      </c>
      <c r="M141" s="12" t="s">
        <v>11</v>
      </c>
      <c r="N141" s="6">
        <v>2</v>
      </c>
      <c r="O141" s="268" t="e">
        <f t="shared" ca="1" si="32"/>
        <v>#N/A</v>
      </c>
      <c r="P141" s="252"/>
      <c r="Q141" s="253"/>
      <c r="R141" s="254" t="s">
        <v>15</v>
      </c>
      <c r="S141" s="255"/>
      <c r="T141" s="223" t="str">
        <f t="shared" si="29"/>
        <v/>
      </c>
      <c r="U141" s="7" t="s">
        <v>15</v>
      </c>
      <c r="V141" s="8" t="str">
        <f t="shared" si="30"/>
        <v/>
      </c>
      <c r="W141" s="58"/>
      <c r="X141" s="7" t="s">
        <v>37</v>
      </c>
      <c r="Y141" s="7" t="s">
        <v>37</v>
      </c>
      <c r="Z141" s="14" t="s">
        <v>104</v>
      </c>
      <c r="AF141" s="360"/>
      <c r="AG141" s="360"/>
      <c r="AH141" s="360"/>
    </row>
    <row r="142" spans="2:34" hidden="1" outlineLevel="1">
      <c r="B142" s="47" t="str">
        <f t="shared" si="33"/>
        <v>F300100</v>
      </c>
      <c r="C142" s="265"/>
      <c r="D142" s="339"/>
      <c r="E142" s="6">
        <f t="shared" si="26"/>
        <v>117</v>
      </c>
      <c r="F142" s="6">
        <v>4</v>
      </c>
      <c r="G142" s="12" t="s">
        <v>10</v>
      </c>
      <c r="H142" s="6">
        <v>1</v>
      </c>
      <c r="I142" s="244" t="e">
        <f t="shared" ca="1" si="31"/>
        <v>#N/A</v>
      </c>
      <c r="J142" s="7" t="s">
        <v>16</v>
      </c>
      <c r="K142" s="6"/>
      <c r="L142" s="244" t="e">
        <f ca="1">INDIRECT(ADDRESS(MATCH(K142,$A$1:$A$21,0),MATCH(#REF!,$A$3:$AE$3,0)))</f>
        <v>#N/A</v>
      </c>
      <c r="M142" s="12" t="s">
        <v>11</v>
      </c>
      <c r="N142" s="6">
        <v>3</v>
      </c>
      <c r="O142" s="268" t="e">
        <f t="shared" ca="1" si="32"/>
        <v>#N/A</v>
      </c>
      <c r="P142" s="252"/>
      <c r="Q142" s="253"/>
      <c r="R142" s="254" t="s">
        <v>15</v>
      </c>
      <c r="S142" s="255"/>
      <c r="T142" s="223" t="str">
        <f t="shared" si="29"/>
        <v/>
      </c>
      <c r="U142" s="7" t="s">
        <v>15</v>
      </c>
      <c r="V142" s="8" t="str">
        <f t="shared" si="30"/>
        <v/>
      </c>
      <c r="W142" s="58"/>
      <c r="X142" s="7" t="s">
        <v>37</v>
      </c>
      <c r="Y142" s="7" t="s">
        <v>37</v>
      </c>
      <c r="Z142" s="14" t="s">
        <v>105</v>
      </c>
      <c r="AF142" s="360"/>
      <c r="AG142" s="360"/>
      <c r="AH142" s="360"/>
    </row>
    <row r="143" spans="2:34" hidden="1" outlineLevel="1">
      <c r="B143" s="47" t="str">
        <f t="shared" si="33"/>
        <v>M501200</v>
      </c>
      <c r="C143" s="265"/>
      <c r="D143" s="339"/>
      <c r="E143" s="6">
        <f t="shared" si="26"/>
        <v>118</v>
      </c>
      <c r="F143" s="6">
        <v>5</v>
      </c>
      <c r="G143" s="12" t="s">
        <v>11</v>
      </c>
      <c r="H143" s="6">
        <v>12</v>
      </c>
      <c r="I143" s="244" t="e">
        <f t="shared" ca="1" si="31"/>
        <v>#N/A</v>
      </c>
      <c r="J143" s="7" t="s">
        <v>16</v>
      </c>
      <c r="K143" s="6"/>
      <c r="L143" s="244" t="e">
        <f ca="1">INDIRECT(ADDRESS(MATCH(K143,$A$1:$A$21,0),MATCH(#REF!,$A$3:$AE$3,0)))</f>
        <v>#N/A</v>
      </c>
      <c r="M143" s="12" t="s">
        <v>11</v>
      </c>
      <c r="N143" s="6">
        <v>11</v>
      </c>
      <c r="O143" s="244" t="e">
        <f t="shared" ca="1" si="32"/>
        <v>#N/A</v>
      </c>
      <c r="P143" s="252"/>
      <c r="Q143" s="253"/>
      <c r="R143" s="254" t="s">
        <v>15</v>
      </c>
      <c r="S143" s="255"/>
      <c r="T143" s="223" t="str">
        <f t="shared" si="29"/>
        <v/>
      </c>
      <c r="U143" s="7" t="s">
        <v>15</v>
      </c>
      <c r="V143" s="8" t="str">
        <f t="shared" si="30"/>
        <v/>
      </c>
      <c r="W143" s="58"/>
      <c r="X143" s="7" t="s">
        <v>37</v>
      </c>
      <c r="Y143" s="7" t="s">
        <v>37</v>
      </c>
      <c r="Z143" s="14" t="s">
        <v>105</v>
      </c>
      <c r="AF143" s="360"/>
      <c r="AG143" s="360"/>
      <c r="AH143" s="360"/>
    </row>
    <row r="144" spans="2:34" hidden="1" outlineLevel="1">
      <c r="B144" s="47" t="str">
        <f t="shared" si="33"/>
        <v>M300200</v>
      </c>
      <c r="C144" s="265">
        <f>+C139+1</f>
        <v>32</v>
      </c>
      <c r="D144" s="339">
        <f>+Daten!N34</f>
        <v>0.91666666666666763</v>
      </c>
      <c r="E144" s="6">
        <f t="shared" si="26"/>
        <v>119</v>
      </c>
      <c r="F144" s="6">
        <v>1</v>
      </c>
      <c r="G144" s="12" t="s">
        <v>9</v>
      </c>
      <c r="H144" s="6">
        <v>2</v>
      </c>
      <c r="I144" s="244" t="e">
        <f t="shared" ca="1" si="31"/>
        <v>#N/A</v>
      </c>
      <c r="J144" s="7" t="s">
        <v>16</v>
      </c>
      <c r="K144" s="6"/>
      <c r="L144" s="244" t="e">
        <f ca="1">INDIRECT(ADDRESS(MATCH(K144,$A$1:$A$21,0),MATCH(#REF!,$A$3:$AE$3,0)))</f>
        <v>#N/A</v>
      </c>
      <c r="M144" s="12" t="s">
        <v>9</v>
      </c>
      <c r="N144" s="6">
        <v>11</v>
      </c>
      <c r="O144" s="244" t="e">
        <f t="shared" ca="1" si="32"/>
        <v>#N/A</v>
      </c>
      <c r="P144" s="252"/>
      <c r="Q144" s="253"/>
      <c r="R144" s="254" t="s">
        <v>15</v>
      </c>
      <c r="S144" s="255"/>
      <c r="T144" s="223" t="str">
        <f t="shared" si="29"/>
        <v/>
      </c>
      <c r="U144" s="7" t="s">
        <v>15</v>
      </c>
      <c r="V144" s="8" t="str">
        <f t="shared" si="30"/>
        <v/>
      </c>
      <c r="W144" s="6"/>
      <c r="X144" s="7" t="s">
        <v>37</v>
      </c>
      <c r="Y144" s="7" t="s">
        <v>37</v>
      </c>
      <c r="Z144" s="14" t="s">
        <v>106</v>
      </c>
      <c r="AF144" s="360"/>
      <c r="AG144" s="360"/>
      <c r="AH144" s="360"/>
    </row>
    <row r="145" spans="1:34" hidden="1" outlineLevel="1">
      <c r="B145" s="47" t="str">
        <f t="shared" si="33"/>
        <v>M301200</v>
      </c>
      <c r="C145" s="265"/>
      <c r="D145" s="339"/>
      <c r="E145" s="6">
        <f t="shared" si="26"/>
        <v>120</v>
      </c>
      <c r="F145" s="6">
        <v>2</v>
      </c>
      <c r="G145" s="12" t="s">
        <v>9</v>
      </c>
      <c r="H145" s="6">
        <v>12</v>
      </c>
      <c r="I145" s="244" t="e">
        <f t="shared" ca="1" si="31"/>
        <v>#N/A</v>
      </c>
      <c r="J145" s="7" t="s">
        <v>16</v>
      </c>
      <c r="K145" s="6"/>
      <c r="L145" s="244" t="e">
        <f ca="1">INDIRECT(ADDRESS(MATCH(K145,$A$1:$A$21,0),MATCH(#REF!,$A$3:$AE$3,0)))</f>
        <v>#N/A</v>
      </c>
      <c r="M145" s="12" t="s">
        <v>9</v>
      </c>
      <c r="N145" s="6">
        <v>1</v>
      </c>
      <c r="O145" s="244" t="e">
        <f t="shared" ca="1" si="32"/>
        <v>#N/A</v>
      </c>
      <c r="P145" s="252"/>
      <c r="Q145" s="253"/>
      <c r="R145" s="254" t="s">
        <v>15</v>
      </c>
      <c r="S145" s="255"/>
      <c r="T145" s="223" t="str">
        <f t="shared" si="29"/>
        <v/>
      </c>
      <c r="U145" s="7" t="s">
        <v>15</v>
      </c>
      <c r="V145" s="8" t="str">
        <f t="shared" si="30"/>
        <v/>
      </c>
      <c r="W145" s="6"/>
      <c r="X145" s="7" t="s">
        <v>37</v>
      </c>
      <c r="Y145" s="7" t="s">
        <v>37</v>
      </c>
      <c r="Z145" s="14" t="s">
        <v>106</v>
      </c>
      <c r="AF145" s="360"/>
      <c r="AG145" s="360"/>
      <c r="AH145" s="360"/>
    </row>
    <row r="146" spans="1:34" hidden="1" outlineLevel="1">
      <c r="A146" s="14" t="s">
        <v>38</v>
      </c>
      <c r="B146" s="47" t="str">
        <f t="shared" si="33"/>
        <v>M500400</v>
      </c>
      <c r="C146" s="265"/>
      <c r="D146" s="339"/>
      <c r="E146" s="6">
        <f t="shared" si="26"/>
        <v>121</v>
      </c>
      <c r="F146" s="6">
        <v>3</v>
      </c>
      <c r="G146" s="12" t="s">
        <v>11</v>
      </c>
      <c r="H146" s="6">
        <v>4</v>
      </c>
      <c r="I146" s="244" t="e">
        <f ca="1">INDIRECT(ADDRESS(MATCH(H146,$A$1:$A$21,0),MATCH(A146,$A$3:$AE$3,0)))</f>
        <v>#N/A</v>
      </c>
      <c r="J146" s="7" t="s">
        <v>16</v>
      </c>
      <c r="K146" s="6"/>
      <c r="L146" s="244" t="e">
        <f ca="1">INDIRECT(ADDRESS(MATCH(K146,$A$1:$A$21,0),MATCH(A146,$A$3:$AE$3,0)))</f>
        <v>#N/A</v>
      </c>
      <c r="M146" s="12" t="s">
        <v>11</v>
      </c>
      <c r="N146" s="6">
        <v>1</v>
      </c>
      <c r="O146" s="244" t="e">
        <f ca="1">INDIRECT(ADDRESS(MATCH(N146,$A$1:$A$21,0),MATCH(A146,$A$3:$AE$3,0)))</f>
        <v>#N/A</v>
      </c>
      <c r="P146" s="252"/>
      <c r="Q146" s="253"/>
      <c r="R146" s="254" t="s">
        <v>15</v>
      </c>
      <c r="S146" s="255"/>
      <c r="T146" s="223" t="str">
        <f t="shared" si="29"/>
        <v/>
      </c>
      <c r="U146" s="7" t="s">
        <v>15</v>
      </c>
      <c r="V146" s="8" t="str">
        <f t="shared" si="30"/>
        <v/>
      </c>
      <c r="W146" s="6"/>
      <c r="X146" s="7" t="s">
        <v>37</v>
      </c>
      <c r="Y146" s="7" t="s">
        <v>37</v>
      </c>
      <c r="Z146" s="14" t="s">
        <v>107</v>
      </c>
      <c r="AF146" s="360"/>
      <c r="AG146" s="360"/>
      <c r="AH146" s="360"/>
    </row>
    <row r="147" spans="1:34" hidden="1" outlineLevel="1">
      <c r="A147" s="14" t="s">
        <v>38</v>
      </c>
      <c r="B147" s="47" t="str">
        <f t="shared" si="33"/>
        <v>M500500</v>
      </c>
      <c r="C147" s="265"/>
      <c r="D147" s="339"/>
      <c r="E147" s="6">
        <f t="shared" si="26"/>
        <v>122</v>
      </c>
      <c r="F147" s="6">
        <v>4</v>
      </c>
      <c r="G147" s="12" t="s">
        <v>11</v>
      </c>
      <c r="H147" s="6">
        <v>5</v>
      </c>
      <c r="I147" s="244" t="e">
        <f ca="1">INDIRECT(ADDRESS(MATCH(H147,$A$1:$A$21,0),MATCH(A147,$A$3:$AE$3,0)))</f>
        <v>#N/A</v>
      </c>
      <c r="J147" s="7" t="s">
        <v>16</v>
      </c>
      <c r="K147" s="6"/>
      <c r="L147" s="244" t="e">
        <f ca="1">INDIRECT(ADDRESS(MATCH(K147,$A$1:$A$21,0),MATCH(A147,$A$3:$AE$3,0)))</f>
        <v>#N/A</v>
      </c>
      <c r="M147" s="12" t="s">
        <v>11</v>
      </c>
      <c r="N147" s="6">
        <v>11</v>
      </c>
      <c r="O147" s="244" t="e">
        <f ca="1">INDIRECT(ADDRESS(MATCH(N147,$A$1:$A$21,0),MATCH(A147,$A$3:$AE$3,0)))</f>
        <v>#N/A</v>
      </c>
      <c r="P147" s="252"/>
      <c r="Q147" s="253"/>
      <c r="R147" s="254" t="s">
        <v>15</v>
      </c>
      <c r="S147" s="255"/>
      <c r="T147" s="223" t="str">
        <f t="shared" si="29"/>
        <v/>
      </c>
      <c r="U147" s="7" t="s">
        <v>15</v>
      </c>
      <c r="V147" s="8" t="str">
        <f t="shared" si="30"/>
        <v/>
      </c>
      <c r="W147" s="6"/>
      <c r="X147" s="7" t="s">
        <v>37</v>
      </c>
      <c r="Y147" s="7" t="s">
        <v>37</v>
      </c>
      <c r="Z147" s="14" t="s">
        <v>107</v>
      </c>
      <c r="AF147" s="360"/>
      <c r="AG147" s="360"/>
      <c r="AH147" s="360"/>
    </row>
    <row r="148" spans="1:34" hidden="1" outlineLevel="1">
      <c r="B148" s="47" t="str">
        <f t="shared" si="33"/>
        <v>0000</v>
      </c>
      <c r="C148" s="265"/>
      <c r="D148" s="339"/>
      <c r="E148" s="6">
        <f t="shared" si="26"/>
        <v>123</v>
      </c>
      <c r="F148" s="6">
        <v>5</v>
      </c>
      <c r="G148" s="12"/>
      <c r="H148" s="6"/>
      <c r="I148" s="244" t="e">
        <f ca="1">INDIRECT(ADDRESS(MATCH(H148,$A$1:$A$21,0),MATCH(G148,$A$3:$AE$3,0)))</f>
        <v>#N/A</v>
      </c>
      <c r="J148" s="7" t="s">
        <v>16</v>
      </c>
      <c r="K148" s="6"/>
      <c r="L148" s="244" t="e">
        <f ca="1">INDIRECT(ADDRESS(MATCH(K148,$A$1:$A$21,0),MATCH(#REF!,$A$3:$AE$3,0)))</f>
        <v>#N/A</v>
      </c>
      <c r="M148" s="12"/>
      <c r="N148" s="6"/>
      <c r="O148" s="244" t="e">
        <f ca="1">INDIRECT(ADDRESS(MATCH(N148,$A$1:$A$21,0),MATCH(M148,$A$3:$AE$3,0)))</f>
        <v>#N/A</v>
      </c>
      <c r="P148" s="252"/>
      <c r="Q148" s="253"/>
      <c r="R148" s="254" t="s">
        <v>15</v>
      </c>
      <c r="S148" s="255"/>
      <c r="T148" s="223" t="str">
        <f t="shared" si="29"/>
        <v/>
      </c>
      <c r="U148" s="7" t="s">
        <v>15</v>
      </c>
      <c r="V148" s="8" t="str">
        <f t="shared" si="30"/>
        <v/>
      </c>
      <c r="W148" s="6"/>
      <c r="X148" s="7" t="s">
        <v>37</v>
      </c>
      <c r="Y148" s="7" t="s">
        <v>37</v>
      </c>
      <c r="Z148" s="14" t="s">
        <v>108</v>
      </c>
      <c r="AF148" s="360"/>
      <c r="AG148" s="360"/>
      <c r="AH148" s="360"/>
    </row>
    <row r="149" spans="1:34" hidden="1" outlineLevel="1">
      <c r="B149" s="47" t="str">
        <f t="shared" si="33"/>
        <v>F300200</v>
      </c>
      <c r="C149" s="265">
        <f>+C144+1</f>
        <v>33</v>
      </c>
      <c r="D149" s="339">
        <f>+Daten!N35</f>
        <v>0.93402777777777879</v>
      </c>
      <c r="E149" s="6">
        <f t="shared" si="26"/>
        <v>124</v>
      </c>
      <c r="F149" s="6">
        <v>1</v>
      </c>
      <c r="G149" s="12" t="s">
        <v>10</v>
      </c>
      <c r="H149" s="6">
        <v>2</v>
      </c>
      <c r="I149" s="244" t="e">
        <f ca="1">INDIRECT(ADDRESS(MATCH(H149,$A$1:$A$21,0),MATCH(G149,$A$3:$AE$3,0)))</f>
        <v>#N/A</v>
      </c>
      <c r="J149" s="7" t="s">
        <v>16</v>
      </c>
      <c r="K149" s="6"/>
      <c r="L149" s="244" t="e">
        <f ca="1">INDIRECT(ADDRESS(MATCH(K149,$A$1:$A$21,0),MATCH(#REF!,$A$3:$AE$3,0)))</f>
        <v>#N/A</v>
      </c>
      <c r="M149" s="12" t="s">
        <v>10</v>
      </c>
      <c r="N149" s="6">
        <v>1</v>
      </c>
      <c r="O149" s="244" t="e">
        <f ca="1">INDIRECT(ADDRESS(MATCH(N149,$A$1:$A$21,0),MATCH(M149,$A$3:$AE$3,0)))</f>
        <v>#N/A</v>
      </c>
      <c r="P149" s="252"/>
      <c r="Q149" s="253"/>
      <c r="R149" s="254" t="s">
        <v>15</v>
      </c>
      <c r="S149" s="255"/>
      <c r="T149" s="223" t="str">
        <f t="shared" si="29"/>
        <v/>
      </c>
      <c r="U149" s="7" t="s">
        <v>15</v>
      </c>
      <c r="V149" s="8" t="str">
        <f t="shared" si="30"/>
        <v/>
      </c>
      <c r="W149" s="6"/>
      <c r="X149" s="7" t="s">
        <v>37</v>
      </c>
      <c r="Y149" s="7" t="s">
        <v>37</v>
      </c>
      <c r="Z149" s="14" t="s">
        <v>108</v>
      </c>
      <c r="AF149" s="360"/>
      <c r="AG149" s="360"/>
      <c r="AH149" s="360"/>
    </row>
    <row r="150" spans="1:34" hidden="1" outlineLevel="1">
      <c r="B150" s="47" t="str">
        <f t="shared" si="33"/>
        <v>F300300</v>
      </c>
      <c r="C150" s="265"/>
      <c r="D150" s="339"/>
      <c r="E150" s="6">
        <f t="shared" si="26"/>
        <v>125</v>
      </c>
      <c r="F150" s="6">
        <v>2</v>
      </c>
      <c r="G150" s="12" t="s">
        <v>10</v>
      </c>
      <c r="H150" s="6">
        <v>3</v>
      </c>
      <c r="I150" s="244" t="e">
        <f ca="1">INDIRECT(ADDRESS(MATCH(H150,$A$1:$A$21,0),MATCH(G150,$A$3:$AE$3,0)))</f>
        <v>#N/A</v>
      </c>
      <c r="J150" s="7" t="s">
        <v>16</v>
      </c>
      <c r="K150" s="6"/>
      <c r="L150" s="244" t="e">
        <f ca="1">INDIRECT(ADDRESS(MATCH(K150,$A$1:$A$21,0),MATCH(#REF!,$A$3:$AE$3,0)))</f>
        <v>#N/A</v>
      </c>
      <c r="M150" s="12" t="s">
        <v>10</v>
      </c>
      <c r="N150" s="6">
        <v>4</v>
      </c>
      <c r="O150" s="244" t="e">
        <f ca="1">INDIRECT(ADDRESS(MATCH(N150,$A$1:$A$21,0),MATCH(M150,$A$3:$AE$3,0)))</f>
        <v>#N/A</v>
      </c>
      <c r="P150" s="252"/>
      <c r="Q150" s="253"/>
      <c r="R150" s="254" t="s">
        <v>15</v>
      </c>
      <c r="S150" s="255"/>
      <c r="T150" s="223" t="str">
        <f t="shared" si="29"/>
        <v/>
      </c>
      <c r="U150" s="7" t="s">
        <v>15</v>
      </c>
      <c r="V150" s="8" t="str">
        <f t="shared" si="30"/>
        <v/>
      </c>
      <c r="W150" s="58"/>
      <c r="X150" s="7" t="s">
        <v>37</v>
      </c>
      <c r="Y150" s="7" t="s">
        <v>37</v>
      </c>
      <c r="Z150" s="14" t="s">
        <v>109</v>
      </c>
      <c r="AF150" s="360"/>
      <c r="AG150" s="360"/>
      <c r="AH150" s="360"/>
    </row>
    <row r="151" spans="1:34" hidden="1" outlineLevel="1">
      <c r="A151" s="14" t="s">
        <v>39</v>
      </c>
      <c r="B151" s="47" t="s">
        <v>111</v>
      </c>
      <c r="C151" s="265"/>
      <c r="D151" s="339"/>
      <c r="E151" s="6">
        <f t="shared" si="26"/>
        <v>126</v>
      </c>
      <c r="F151" s="6">
        <v>3</v>
      </c>
      <c r="G151" s="12" t="s">
        <v>9</v>
      </c>
      <c r="H151" s="6">
        <v>5</v>
      </c>
      <c r="I151" s="244" t="e">
        <f ca="1">INDIRECT(ADDRESS(MATCH(H151,$A$1:$A$21,0),MATCH(A151,$A$3:$AE$3,0)))</f>
        <v>#N/A</v>
      </c>
      <c r="J151" s="7" t="s">
        <v>16</v>
      </c>
      <c r="K151" s="6"/>
      <c r="L151" s="244" t="e">
        <f ca="1">INDIRECT(ADDRESS(MATCH(K151,$A$1:$A$21,0),MATCH(A151,$A$3:$AE$3,0)))</f>
        <v>#N/A</v>
      </c>
      <c r="M151" s="12" t="s">
        <v>9</v>
      </c>
      <c r="N151" s="6">
        <v>1</v>
      </c>
      <c r="O151" s="244" t="e">
        <f ca="1">INDIRECT(ADDRESS(MATCH(N151,$A$1:$A$21,0),MATCH(A151,$A$3:$AE$3,0)))</f>
        <v>#N/A</v>
      </c>
      <c r="P151" s="252"/>
      <c r="Q151" s="253"/>
      <c r="R151" s="254" t="s">
        <v>15</v>
      </c>
      <c r="S151" s="255"/>
      <c r="T151" s="223" t="str">
        <f t="shared" si="29"/>
        <v/>
      </c>
      <c r="U151" s="7" t="s">
        <v>15</v>
      </c>
      <c r="V151" s="8" t="str">
        <f t="shared" si="30"/>
        <v/>
      </c>
      <c r="W151" s="58"/>
      <c r="X151" s="7" t="s">
        <v>37</v>
      </c>
      <c r="Y151" s="7" t="s">
        <v>37</v>
      </c>
      <c r="Z151" s="14" t="s">
        <v>109</v>
      </c>
      <c r="AF151" s="360"/>
      <c r="AG151" s="360"/>
      <c r="AH151" s="360"/>
    </row>
    <row r="152" spans="1:34" hidden="1" outlineLevel="1">
      <c r="A152" s="14" t="s">
        <v>39</v>
      </c>
      <c r="B152" s="47" t="s">
        <v>112</v>
      </c>
      <c r="C152" s="265"/>
      <c r="D152" s="339"/>
      <c r="E152" s="6">
        <f t="shared" si="26"/>
        <v>127</v>
      </c>
      <c r="F152" s="6">
        <v>4</v>
      </c>
      <c r="G152" s="12" t="s">
        <v>9</v>
      </c>
      <c r="H152" s="6">
        <v>4</v>
      </c>
      <c r="I152" s="244" t="e">
        <f ca="1">INDIRECT(ADDRESS(MATCH(H152,$A$1:$A$21,0),MATCH(A152,$A$3:$AE$3,0)))</f>
        <v>#N/A</v>
      </c>
      <c r="J152" s="7" t="s">
        <v>16</v>
      </c>
      <c r="K152" s="6"/>
      <c r="L152" s="244" t="e">
        <f ca="1">INDIRECT(ADDRESS(MATCH(K152,$A$1:$A$21,0),MATCH(A152,$A$3:$AE$3,0)))</f>
        <v>#N/A</v>
      </c>
      <c r="M152" s="12" t="s">
        <v>9</v>
      </c>
      <c r="N152" s="6">
        <v>11</v>
      </c>
      <c r="O152" s="244" t="e">
        <f ca="1">INDIRECT(ADDRESS(MATCH(N152,$A$1:$A$21,0),MATCH(A152,$A$3:$AE$3,0)))</f>
        <v>#N/A</v>
      </c>
      <c r="P152" s="252"/>
      <c r="Q152" s="253"/>
      <c r="R152" s="254" t="s">
        <v>15</v>
      </c>
      <c r="S152" s="255"/>
      <c r="T152" s="223" t="str">
        <f t="shared" si="29"/>
        <v/>
      </c>
      <c r="U152" s="7" t="s">
        <v>15</v>
      </c>
      <c r="V152" s="8" t="str">
        <f t="shared" si="30"/>
        <v/>
      </c>
      <c r="W152" s="58"/>
      <c r="X152" s="7" t="s">
        <v>37</v>
      </c>
      <c r="Y152" s="7" t="s">
        <v>37</v>
      </c>
      <c r="Z152" s="14" t="s">
        <v>110</v>
      </c>
      <c r="AF152" s="360"/>
      <c r="AG152" s="360"/>
      <c r="AH152" s="360"/>
    </row>
    <row r="153" spans="1:34" hidden="1" outlineLevel="1">
      <c r="B153" s="47" t="str">
        <f>G153&amp;TEXT(H153,"00")&amp;TEXT(K153,"00")</f>
        <v>0000</v>
      </c>
      <c r="C153" s="265"/>
      <c r="D153" s="339"/>
      <c r="E153" s="6">
        <f>+E152+1</f>
        <v>128</v>
      </c>
      <c r="F153" s="6">
        <v>5</v>
      </c>
      <c r="G153" s="12"/>
      <c r="H153" s="6"/>
      <c r="I153" s="244" t="e">
        <f ca="1">INDIRECT(ADDRESS(MATCH(H153,$A$1:$A$21,0),MATCH(G153,$A$3:$AE$3,0)))</f>
        <v>#N/A</v>
      </c>
      <c r="J153" s="7" t="s">
        <v>16</v>
      </c>
      <c r="K153" s="6"/>
      <c r="L153" s="244" t="e">
        <f ca="1">INDIRECT(ADDRESS(MATCH(K153,$A$1:$A$21,0),MATCH(#REF!,$A$3:$AE$3,0)))</f>
        <v>#N/A</v>
      </c>
      <c r="M153" s="12"/>
      <c r="N153" s="6"/>
      <c r="O153" s="244" t="e">
        <f ca="1">INDIRECT(ADDRESS(MATCH(N153,$A$1:$A$21,0),MATCH(M153,$A$3:$AE$3,0)))</f>
        <v>#N/A</v>
      </c>
      <c r="P153" s="252"/>
      <c r="Q153" s="253"/>
      <c r="R153" s="254" t="s">
        <v>15</v>
      </c>
      <c r="S153" s="255"/>
      <c r="T153" s="223" t="str">
        <f t="shared" si="29"/>
        <v/>
      </c>
      <c r="U153" s="7" t="s">
        <v>15</v>
      </c>
      <c r="V153" s="8" t="str">
        <f t="shared" si="30"/>
        <v/>
      </c>
      <c r="W153" s="58"/>
      <c r="X153" s="7" t="s">
        <v>37</v>
      </c>
      <c r="Y153" s="7" t="s">
        <v>37</v>
      </c>
      <c r="Z153" s="14" t="s">
        <v>110</v>
      </c>
      <c r="AF153" s="360"/>
      <c r="AG153" s="360"/>
      <c r="AH153" s="360"/>
    </row>
    <row r="154" spans="1:34" hidden="1" outlineLevel="1">
      <c r="C154" s="265"/>
      <c r="D154" s="339"/>
      <c r="E154" s="6"/>
      <c r="F154" s="6"/>
      <c r="G154" s="12"/>
      <c r="H154" s="6"/>
      <c r="I154" s="244"/>
      <c r="J154" s="7"/>
      <c r="K154" s="6"/>
      <c r="L154" s="244"/>
      <c r="M154" s="12"/>
      <c r="N154" s="6"/>
      <c r="O154" s="244"/>
      <c r="P154" s="252"/>
      <c r="Q154" s="253"/>
      <c r="R154" s="254"/>
      <c r="S154" s="255"/>
      <c r="T154" s="223"/>
      <c r="U154" s="7"/>
      <c r="V154" s="8"/>
      <c r="W154" s="6"/>
      <c r="X154" s="7"/>
      <c r="Y154" s="7"/>
      <c r="AF154" s="360"/>
      <c r="AG154" s="360"/>
      <c r="AH154" s="360"/>
    </row>
    <row r="155" spans="1:34" hidden="1" outlineLevel="1">
      <c r="C155" s="265"/>
      <c r="D155" s="339"/>
      <c r="E155" s="6"/>
      <c r="F155" s="6"/>
      <c r="G155" s="12"/>
      <c r="H155" s="6"/>
      <c r="I155" s="244"/>
      <c r="J155" s="7"/>
      <c r="K155" s="6"/>
      <c r="L155" s="244"/>
      <c r="M155" s="12"/>
      <c r="N155" s="6"/>
      <c r="O155" s="244"/>
      <c r="P155" s="252"/>
      <c r="Q155" s="253"/>
      <c r="R155" s="254"/>
      <c r="S155" s="255"/>
      <c r="T155" s="223"/>
      <c r="U155" s="7"/>
      <c r="V155" s="8"/>
      <c r="W155" s="6"/>
      <c r="X155" s="7"/>
      <c r="Y155" s="7"/>
      <c r="AF155" s="360"/>
      <c r="AG155" s="360"/>
      <c r="AH155" s="360"/>
    </row>
    <row r="156" spans="1:34" hidden="1" outlineLevel="1">
      <c r="C156" s="265"/>
      <c r="D156" s="339"/>
      <c r="E156" s="6"/>
      <c r="F156" s="6"/>
      <c r="G156" s="12"/>
      <c r="H156" s="6"/>
      <c r="I156" s="244"/>
      <c r="J156" s="7"/>
      <c r="K156" s="6"/>
      <c r="L156" s="244"/>
      <c r="M156" s="12"/>
      <c r="N156" s="6"/>
      <c r="O156" s="268"/>
      <c r="P156" s="252"/>
      <c r="Q156" s="253"/>
      <c r="R156" s="254"/>
      <c r="S156" s="255"/>
      <c r="T156" s="223"/>
      <c r="U156" s="7"/>
      <c r="V156" s="8"/>
      <c r="W156" s="58"/>
      <c r="X156" s="7"/>
      <c r="Y156" s="7"/>
      <c r="AF156" s="360"/>
      <c r="AG156" s="360"/>
      <c r="AH156" s="360"/>
    </row>
    <row r="157" spans="1:34" hidden="1" outlineLevel="1">
      <c r="C157" s="265"/>
      <c r="D157" s="339"/>
      <c r="E157" s="6"/>
      <c r="F157" s="6"/>
      <c r="G157" s="12"/>
      <c r="H157" s="6"/>
      <c r="I157" s="244"/>
      <c r="J157" s="7"/>
      <c r="K157" s="6"/>
      <c r="L157" s="244"/>
      <c r="M157" s="12"/>
      <c r="N157" s="6"/>
      <c r="O157" s="268"/>
      <c r="P157" s="252"/>
      <c r="Q157" s="253"/>
      <c r="R157" s="254"/>
      <c r="S157" s="255"/>
      <c r="T157" s="223"/>
      <c r="U157" s="7"/>
      <c r="V157" s="8"/>
      <c r="W157" s="58"/>
      <c r="X157" s="7"/>
      <c r="Y157" s="7"/>
      <c r="AF157" s="360"/>
      <c r="AG157" s="360"/>
      <c r="AH157" s="360"/>
    </row>
    <row r="158" spans="1:34" hidden="1" outlineLevel="1">
      <c r="C158" s="265"/>
      <c r="D158" s="339"/>
      <c r="E158" s="6"/>
      <c r="F158" s="6"/>
      <c r="G158" s="12"/>
      <c r="H158" s="6"/>
      <c r="I158" s="244"/>
      <c r="J158" s="7"/>
      <c r="K158" s="6"/>
      <c r="L158" s="244"/>
      <c r="M158" s="12"/>
      <c r="N158" s="6"/>
      <c r="O158" s="268"/>
      <c r="P158" s="252"/>
      <c r="Q158" s="253"/>
      <c r="R158" s="254"/>
      <c r="S158" s="255"/>
      <c r="T158" s="223"/>
      <c r="U158" s="7"/>
      <c r="V158" s="8"/>
      <c r="W158" s="58"/>
      <c r="X158" s="7"/>
      <c r="Y158" s="7"/>
      <c r="AF158" s="360"/>
      <c r="AG158" s="360"/>
      <c r="AH158" s="360"/>
    </row>
    <row r="159" spans="1:34" hidden="1" outlineLevel="1">
      <c r="C159" s="265"/>
      <c r="D159" s="339"/>
      <c r="E159" s="6"/>
      <c r="F159" s="6"/>
      <c r="G159" s="12"/>
      <c r="H159" s="6"/>
      <c r="I159" s="244"/>
      <c r="J159" s="7"/>
      <c r="K159" s="6"/>
      <c r="L159" s="244"/>
      <c r="M159" s="12"/>
      <c r="N159" s="6"/>
      <c r="O159" s="268"/>
      <c r="P159" s="252"/>
      <c r="Q159" s="253"/>
      <c r="R159" s="254"/>
      <c r="S159" s="255"/>
      <c r="T159" s="223"/>
      <c r="U159" s="7"/>
      <c r="V159" s="8"/>
      <c r="W159" s="58"/>
      <c r="X159" s="7"/>
      <c r="Y159" s="7"/>
      <c r="AF159" s="360"/>
      <c r="AG159" s="360"/>
      <c r="AH159" s="360"/>
    </row>
    <row r="160" spans="1:34" hidden="1" outlineLevel="1">
      <c r="C160" s="265"/>
      <c r="D160" s="339"/>
      <c r="E160" s="6"/>
      <c r="F160" s="6"/>
      <c r="G160" s="12"/>
      <c r="H160" s="6"/>
      <c r="I160" s="244"/>
      <c r="J160" s="7"/>
      <c r="K160" s="6"/>
      <c r="L160" s="244"/>
      <c r="M160" s="12"/>
      <c r="N160" s="6"/>
      <c r="O160" s="244"/>
      <c r="P160" s="252"/>
      <c r="Q160" s="253"/>
      <c r="R160" s="254"/>
      <c r="S160" s="255"/>
      <c r="T160" s="223"/>
      <c r="U160" s="7"/>
      <c r="V160" s="8"/>
      <c r="W160" s="6"/>
      <c r="X160" s="7"/>
      <c r="Y160" s="7"/>
      <c r="AF160" s="360"/>
      <c r="AG160" s="360"/>
      <c r="AH160" s="360"/>
    </row>
    <row r="161" spans="3:34" hidden="1" outlineLevel="1">
      <c r="C161" s="265"/>
      <c r="D161" s="339"/>
      <c r="E161" s="6"/>
      <c r="F161" s="6"/>
      <c r="G161" s="12"/>
      <c r="H161" s="6"/>
      <c r="I161" s="244"/>
      <c r="J161" s="7"/>
      <c r="K161" s="6"/>
      <c r="L161" s="244"/>
      <c r="M161" s="12"/>
      <c r="N161" s="6"/>
      <c r="O161" s="244"/>
      <c r="P161" s="252"/>
      <c r="Q161" s="253"/>
      <c r="R161" s="254"/>
      <c r="S161" s="255"/>
      <c r="T161" s="223"/>
      <c r="U161" s="7"/>
      <c r="V161" s="8"/>
      <c r="W161" s="6"/>
      <c r="X161" s="7"/>
      <c r="Y161" s="7"/>
      <c r="AF161" s="360"/>
      <c r="AG161" s="360"/>
      <c r="AH161" s="360"/>
    </row>
    <row r="162" spans="3:34" hidden="1" outlineLevel="1">
      <c r="C162" s="265"/>
      <c r="D162" s="339"/>
      <c r="E162" s="6"/>
      <c r="F162" s="6"/>
      <c r="G162" s="12"/>
      <c r="H162" s="6"/>
      <c r="I162" s="244"/>
      <c r="J162" s="7"/>
      <c r="K162" s="6"/>
      <c r="L162" s="244"/>
      <c r="M162" s="12"/>
      <c r="N162" s="6"/>
      <c r="O162" s="244"/>
      <c r="P162" s="252"/>
      <c r="Q162" s="253"/>
      <c r="R162" s="254"/>
      <c r="S162" s="255"/>
      <c r="T162" s="223"/>
      <c r="U162" s="7"/>
      <c r="V162" s="8"/>
      <c r="W162" s="58"/>
      <c r="X162" s="7"/>
      <c r="Y162" s="7"/>
      <c r="AF162" s="360"/>
      <c r="AG162" s="360"/>
      <c r="AH162" s="360"/>
    </row>
    <row r="163" spans="3:34" hidden="1" outlineLevel="1">
      <c r="C163" s="265"/>
      <c r="D163" s="339"/>
      <c r="E163" s="6"/>
      <c r="F163" s="6"/>
      <c r="G163" s="12"/>
      <c r="H163" s="6"/>
      <c r="I163" s="244"/>
      <c r="J163" s="7"/>
      <c r="K163" s="6"/>
      <c r="L163" s="244"/>
      <c r="M163" s="12"/>
      <c r="N163" s="6"/>
      <c r="O163" s="244"/>
      <c r="P163" s="252"/>
      <c r="Q163" s="253"/>
      <c r="R163" s="254"/>
      <c r="S163" s="255"/>
      <c r="T163" s="223"/>
      <c r="U163" s="7"/>
      <c r="V163" s="8"/>
      <c r="W163" s="58"/>
      <c r="X163" s="7"/>
      <c r="Y163" s="7"/>
      <c r="AF163" s="360"/>
      <c r="AG163" s="360"/>
      <c r="AH163" s="360"/>
    </row>
    <row r="164" spans="3:34" hidden="1" outlineLevel="1">
      <c r="C164" s="265"/>
      <c r="D164" s="339"/>
      <c r="E164" s="6"/>
      <c r="F164" s="6"/>
      <c r="G164" s="12"/>
      <c r="H164" s="6"/>
      <c r="I164" s="244"/>
      <c r="J164" s="7"/>
      <c r="K164" s="6"/>
      <c r="L164" s="244"/>
      <c r="M164" s="12"/>
      <c r="N164" s="6"/>
      <c r="O164" s="268"/>
      <c r="P164" s="252"/>
      <c r="Q164" s="253"/>
      <c r="R164" s="254"/>
      <c r="S164" s="255"/>
      <c r="T164" s="223"/>
      <c r="U164" s="7"/>
      <c r="V164" s="8"/>
      <c r="W164" s="58"/>
      <c r="X164" s="7"/>
      <c r="Y164" s="7"/>
      <c r="AF164" s="360"/>
      <c r="AG164" s="360"/>
      <c r="AH164" s="360"/>
    </row>
    <row r="165" spans="3:34" hidden="1" outlineLevel="1">
      <c r="C165" s="265"/>
      <c r="D165" s="339"/>
      <c r="E165" s="6"/>
      <c r="F165" s="6"/>
      <c r="G165" s="12"/>
      <c r="H165" s="6"/>
      <c r="I165" s="244"/>
      <c r="J165" s="7"/>
      <c r="K165" s="6"/>
      <c r="L165" s="244"/>
      <c r="M165" s="12"/>
      <c r="N165" s="6"/>
      <c r="O165" s="268"/>
      <c r="P165" s="252"/>
      <c r="Q165" s="253"/>
      <c r="R165" s="254"/>
      <c r="S165" s="255"/>
      <c r="T165" s="223"/>
      <c r="U165" s="7"/>
      <c r="V165" s="8"/>
      <c r="W165" s="58"/>
      <c r="X165" s="7"/>
      <c r="Y165" s="7"/>
      <c r="AF165" s="360"/>
      <c r="AG165" s="360"/>
      <c r="AH165" s="360"/>
    </row>
    <row r="166" spans="3:34" hidden="1" outlineLevel="1">
      <c r="C166" s="265"/>
      <c r="D166" s="339"/>
      <c r="E166" s="6"/>
      <c r="F166" s="6"/>
      <c r="G166" s="12"/>
      <c r="H166" s="6"/>
      <c r="I166" s="244"/>
      <c r="J166" s="7"/>
      <c r="K166" s="6"/>
      <c r="L166" s="244"/>
      <c r="M166" s="12"/>
      <c r="N166" s="6"/>
      <c r="O166" s="268"/>
      <c r="P166" s="252"/>
      <c r="Q166" s="253"/>
      <c r="R166" s="254"/>
      <c r="S166" s="255"/>
      <c r="T166" s="223"/>
      <c r="U166" s="7"/>
      <c r="V166" s="8"/>
      <c r="W166" s="6"/>
      <c r="X166" s="7"/>
      <c r="Y166" s="7"/>
      <c r="AF166" s="360"/>
      <c r="AG166" s="360"/>
      <c r="AH166" s="360"/>
    </row>
    <row r="167" spans="3:34" hidden="1" outlineLevel="1">
      <c r="C167" s="265"/>
      <c r="D167" s="339"/>
      <c r="E167" s="6"/>
      <c r="F167" s="6"/>
      <c r="G167" s="12"/>
      <c r="H167" s="6"/>
      <c r="I167" s="244"/>
      <c r="J167" s="7"/>
      <c r="K167" s="6"/>
      <c r="L167" s="244"/>
      <c r="M167" s="12"/>
      <c r="N167" s="6"/>
      <c r="O167" s="268"/>
      <c r="P167" s="252"/>
      <c r="Q167" s="253"/>
      <c r="R167" s="254"/>
      <c r="S167" s="255"/>
      <c r="T167" s="223"/>
      <c r="U167" s="7"/>
      <c r="V167" s="8"/>
      <c r="W167" s="6"/>
      <c r="X167" s="7"/>
      <c r="Y167" s="7"/>
      <c r="AF167" s="360"/>
      <c r="AG167" s="360"/>
      <c r="AH167" s="360"/>
    </row>
    <row r="168" spans="3:34" hidden="1" outlineLevel="1">
      <c r="C168" s="265"/>
      <c r="D168" s="339"/>
      <c r="E168" s="6"/>
      <c r="F168" s="6"/>
      <c r="G168" s="12"/>
      <c r="H168" s="6"/>
      <c r="I168" s="244"/>
      <c r="J168" s="7"/>
      <c r="K168" s="6"/>
      <c r="L168" s="244"/>
      <c r="M168" s="12"/>
      <c r="N168" s="6"/>
      <c r="O168" s="268"/>
      <c r="P168" s="252"/>
      <c r="Q168" s="253"/>
      <c r="R168" s="254"/>
      <c r="S168" s="255"/>
      <c r="T168" s="223"/>
      <c r="U168" s="7"/>
      <c r="V168" s="8"/>
      <c r="W168" s="58"/>
      <c r="X168" s="7"/>
      <c r="Y168" s="7"/>
      <c r="AF168" s="360"/>
      <c r="AG168" s="360"/>
      <c r="AH168" s="360"/>
    </row>
    <row r="169" spans="3:34" hidden="1" outlineLevel="1">
      <c r="C169" s="265"/>
      <c r="D169" s="339"/>
      <c r="E169" s="6"/>
      <c r="F169" s="6"/>
      <c r="G169" s="12"/>
      <c r="H169" s="6"/>
      <c r="I169" s="244"/>
      <c r="J169" s="7"/>
      <c r="K169" s="6"/>
      <c r="L169" s="244"/>
      <c r="M169" s="12"/>
      <c r="N169" s="6"/>
      <c r="O169" s="268"/>
      <c r="P169" s="252"/>
      <c r="Q169" s="253"/>
      <c r="R169" s="254"/>
      <c r="S169" s="255"/>
      <c r="T169" s="223"/>
      <c r="U169" s="7"/>
      <c r="V169" s="8"/>
      <c r="W169" s="58"/>
      <c r="X169" s="7"/>
      <c r="Y169" s="7"/>
      <c r="AF169" s="360"/>
      <c r="AG169" s="360"/>
      <c r="AH169" s="360"/>
    </row>
    <row r="170" spans="3:34" hidden="1" outlineLevel="1">
      <c r="C170" s="265"/>
      <c r="D170" s="339"/>
      <c r="E170" s="6"/>
      <c r="F170" s="6"/>
      <c r="G170" s="12"/>
      <c r="H170" s="6"/>
      <c r="I170" s="244"/>
      <c r="J170" s="7"/>
      <c r="K170" s="6"/>
      <c r="L170" s="244"/>
      <c r="M170" s="12"/>
      <c r="N170" s="6"/>
      <c r="O170" s="268"/>
      <c r="P170" s="252"/>
      <c r="Q170" s="253"/>
      <c r="R170" s="254"/>
      <c r="S170" s="255"/>
      <c r="T170" s="223"/>
      <c r="U170" s="7"/>
      <c r="V170" s="8"/>
      <c r="W170" s="58"/>
      <c r="X170" s="7"/>
      <c r="Y170" s="7"/>
      <c r="AF170" s="360"/>
      <c r="AG170" s="360"/>
      <c r="AH170" s="360"/>
    </row>
    <row r="171" spans="3:34" hidden="1" outlineLevel="1">
      <c r="C171" s="265"/>
      <c r="D171" s="339"/>
      <c r="E171" s="6"/>
      <c r="F171" s="6"/>
      <c r="G171" s="12"/>
      <c r="H171" s="6"/>
      <c r="I171" s="244"/>
      <c r="J171" s="7"/>
      <c r="K171" s="6"/>
      <c r="L171" s="244"/>
      <c r="M171" s="12"/>
      <c r="N171" s="6"/>
      <c r="O171" s="268"/>
      <c r="P171" s="252"/>
      <c r="Q171" s="253"/>
      <c r="R171" s="254"/>
      <c r="S171" s="255"/>
      <c r="T171" s="223"/>
      <c r="U171" s="7"/>
      <c r="V171" s="8"/>
      <c r="W171" s="58"/>
      <c r="X171" s="7"/>
      <c r="Y171" s="7"/>
      <c r="AF171" s="360"/>
      <c r="AG171" s="360"/>
      <c r="AH171" s="360"/>
    </row>
    <row r="172" spans="3:34" hidden="1" outlineLevel="1">
      <c r="C172" s="265"/>
      <c r="D172" s="339"/>
      <c r="E172" s="6"/>
      <c r="F172" s="6"/>
      <c r="G172" s="12"/>
      <c r="H172" s="6"/>
      <c r="I172" s="244"/>
      <c r="J172" s="7"/>
      <c r="K172" s="6"/>
      <c r="L172" s="244"/>
      <c r="M172" s="12"/>
      <c r="N172" s="6"/>
      <c r="O172" s="244"/>
      <c r="P172" s="252"/>
      <c r="Q172" s="253"/>
      <c r="R172" s="254"/>
      <c r="S172" s="255"/>
      <c r="T172" s="223"/>
      <c r="U172" s="7"/>
      <c r="V172" s="8"/>
      <c r="W172" s="6"/>
      <c r="X172" s="7"/>
      <c r="Y172" s="7"/>
      <c r="AF172" s="360"/>
      <c r="AG172" s="360"/>
      <c r="AH172" s="360"/>
    </row>
    <row r="173" spans="3:34" hidden="1" outlineLevel="1">
      <c r="C173" s="265"/>
      <c r="D173" s="339"/>
      <c r="E173" s="6"/>
      <c r="F173" s="6"/>
      <c r="G173" s="12"/>
      <c r="H173" s="6"/>
      <c r="I173" s="244"/>
      <c r="J173" s="7"/>
      <c r="K173" s="6"/>
      <c r="L173" s="244"/>
      <c r="M173" s="12"/>
      <c r="N173" s="6"/>
      <c r="O173" s="244"/>
      <c r="P173" s="252"/>
      <c r="Q173" s="253"/>
      <c r="R173" s="254"/>
      <c r="S173" s="255"/>
      <c r="T173" s="223"/>
      <c r="U173" s="7"/>
      <c r="V173" s="8"/>
      <c r="W173" s="6"/>
      <c r="X173" s="7"/>
      <c r="Y173" s="7"/>
      <c r="AF173" s="360"/>
      <c r="AG173" s="360"/>
      <c r="AH173" s="360"/>
    </row>
    <row r="174" spans="3:34" hidden="1" outlineLevel="1">
      <c r="C174" s="265"/>
      <c r="D174" s="339"/>
      <c r="E174" s="6"/>
      <c r="F174" s="6"/>
      <c r="G174" s="12"/>
      <c r="H174" s="6"/>
      <c r="I174" s="244"/>
      <c r="J174" s="7"/>
      <c r="K174" s="6"/>
      <c r="L174" s="244"/>
      <c r="M174" s="12"/>
      <c r="N174" s="6"/>
      <c r="O174" s="268"/>
      <c r="P174" s="252"/>
      <c r="Q174" s="253"/>
      <c r="R174" s="254"/>
      <c r="S174" s="255"/>
      <c r="T174" s="223"/>
      <c r="U174" s="7"/>
      <c r="V174" s="8"/>
      <c r="W174" s="58"/>
      <c r="X174" s="7"/>
      <c r="Y174" s="7"/>
      <c r="AF174" s="360"/>
      <c r="AG174" s="360"/>
      <c r="AH174" s="360"/>
    </row>
    <row r="175" spans="3:34" hidden="1" outlineLevel="1">
      <c r="C175" s="265"/>
      <c r="D175" s="339"/>
      <c r="E175" s="6"/>
      <c r="F175" s="6"/>
      <c r="G175" s="12"/>
      <c r="H175" s="6"/>
      <c r="I175" s="244"/>
      <c r="J175" s="7"/>
      <c r="K175" s="6"/>
      <c r="L175" s="244"/>
      <c r="M175" s="12"/>
      <c r="N175" s="6"/>
      <c r="O175" s="268"/>
      <c r="P175" s="252"/>
      <c r="Q175" s="253"/>
      <c r="R175" s="254"/>
      <c r="S175" s="255"/>
      <c r="T175" s="223"/>
      <c r="U175" s="7"/>
      <c r="V175" s="8"/>
      <c r="W175" s="58"/>
      <c r="X175" s="7"/>
      <c r="Y175" s="7"/>
      <c r="AF175" s="360"/>
      <c r="AG175" s="360"/>
      <c r="AH175" s="360"/>
    </row>
    <row r="176" spans="3:34" hidden="1" outlineLevel="1">
      <c r="C176" s="265"/>
      <c r="D176" s="339"/>
      <c r="E176" s="6"/>
      <c r="F176" s="6"/>
      <c r="G176" s="12"/>
      <c r="H176" s="6"/>
      <c r="I176" s="244"/>
      <c r="J176" s="7"/>
      <c r="K176" s="6"/>
      <c r="L176" s="244"/>
      <c r="M176" s="12"/>
      <c r="N176" s="6"/>
      <c r="O176" s="268"/>
      <c r="P176" s="252"/>
      <c r="Q176" s="253"/>
      <c r="R176" s="254"/>
      <c r="S176" s="255"/>
      <c r="T176" s="223"/>
      <c r="U176" s="7"/>
      <c r="V176" s="8"/>
      <c r="W176" s="244"/>
      <c r="X176" s="7"/>
      <c r="Y176" s="7"/>
      <c r="AF176" s="360"/>
      <c r="AG176" s="360"/>
      <c r="AH176" s="360"/>
    </row>
    <row r="177" spans="3:34" hidden="1" outlineLevel="1">
      <c r="C177" s="265"/>
      <c r="D177" s="339"/>
      <c r="E177" s="6"/>
      <c r="F177" s="6"/>
      <c r="G177" s="12"/>
      <c r="H177" s="6"/>
      <c r="I177" s="244"/>
      <c r="J177" s="7"/>
      <c r="K177" s="6"/>
      <c r="L177" s="244"/>
      <c r="M177" s="12"/>
      <c r="N177" s="6"/>
      <c r="O177" s="268"/>
      <c r="P177" s="252"/>
      <c r="Q177" s="253"/>
      <c r="R177" s="254"/>
      <c r="S177" s="255"/>
      <c r="T177" s="223"/>
      <c r="U177" s="7"/>
      <c r="V177" s="8"/>
      <c r="W177" s="58"/>
      <c r="X177" s="7"/>
      <c r="Y177" s="7"/>
      <c r="AF177" s="360"/>
      <c r="AG177" s="360"/>
      <c r="AH177" s="360"/>
    </row>
    <row r="178" spans="3:34" hidden="1" outlineLevel="1">
      <c r="C178" s="265"/>
      <c r="D178" s="339"/>
      <c r="E178" s="6"/>
      <c r="F178" s="6"/>
      <c r="G178" s="12"/>
      <c r="H178" s="6"/>
      <c r="I178" s="244"/>
      <c r="J178" s="7"/>
      <c r="K178" s="6"/>
      <c r="L178" s="244"/>
      <c r="M178" s="12"/>
      <c r="N178" s="6"/>
      <c r="O178" s="268"/>
      <c r="P178" s="252"/>
      <c r="Q178" s="253"/>
      <c r="R178" s="254"/>
      <c r="S178" s="255"/>
      <c r="T178" s="223"/>
      <c r="U178" s="7"/>
      <c r="V178" s="8"/>
      <c r="W178" s="6"/>
      <c r="X178" s="7"/>
      <c r="Y178" s="7"/>
      <c r="AF178" s="360"/>
      <c r="AG178" s="360"/>
      <c r="AH178" s="360"/>
    </row>
    <row r="179" spans="3:34" hidden="1" outlineLevel="1">
      <c r="C179" s="265"/>
      <c r="D179" s="339"/>
      <c r="E179" s="6"/>
      <c r="F179" s="6"/>
      <c r="G179" s="12"/>
      <c r="H179" s="6"/>
      <c r="I179" s="244"/>
      <c r="J179" s="7"/>
      <c r="K179" s="6"/>
      <c r="L179" s="244"/>
      <c r="M179" s="12"/>
      <c r="N179" s="6"/>
      <c r="O179" s="268"/>
      <c r="P179" s="252"/>
      <c r="Q179" s="253"/>
      <c r="R179" s="254"/>
      <c r="S179" s="255"/>
      <c r="T179" s="223"/>
      <c r="U179" s="7"/>
      <c r="V179" s="8"/>
      <c r="W179" s="6"/>
      <c r="X179" s="7"/>
      <c r="Y179" s="7"/>
      <c r="AF179" s="360"/>
      <c r="AG179" s="360"/>
      <c r="AH179" s="360"/>
    </row>
    <row r="180" spans="3:34" hidden="1" outlineLevel="1">
      <c r="C180" s="265"/>
      <c r="D180" s="339"/>
      <c r="E180" s="6"/>
      <c r="F180" s="6"/>
      <c r="G180" s="12"/>
      <c r="H180" s="6"/>
      <c r="I180" s="244"/>
      <c r="J180" s="7"/>
      <c r="K180" s="6"/>
      <c r="L180" s="244"/>
      <c r="M180" s="12"/>
      <c r="N180" s="6"/>
      <c r="O180" s="244"/>
      <c r="P180" s="252"/>
      <c r="Q180" s="253"/>
      <c r="R180" s="254"/>
      <c r="S180" s="255"/>
      <c r="T180" s="223"/>
      <c r="U180" s="7"/>
      <c r="V180" s="8"/>
      <c r="W180" s="58"/>
      <c r="X180" s="7"/>
      <c r="Y180" s="7"/>
      <c r="AF180" s="360"/>
      <c r="AG180" s="360"/>
      <c r="AH180" s="360"/>
    </row>
    <row r="181" spans="3:34" hidden="1" outlineLevel="1">
      <c r="C181" s="265"/>
      <c r="D181" s="339"/>
      <c r="E181" s="6"/>
      <c r="F181" s="6"/>
      <c r="G181" s="12"/>
      <c r="H181" s="6"/>
      <c r="I181" s="244"/>
      <c r="J181" s="7"/>
      <c r="K181" s="6"/>
      <c r="L181" s="244"/>
      <c r="M181" s="12"/>
      <c r="N181" s="6"/>
      <c r="O181" s="268"/>
      <c r="P181" s="252"/>
      <c r="Q181" s="253"/>
      <c r="R181" s="254"/>
      <c r="S181" s="255"/>
      <c r="T181" s="223"/>
      <c r="U181" s="7"/>
      <c r="V181" s="8"/>
      <c r="W181" s="58"/>
      <c r="X181" s="7"/>
      <c r="Y181" s="7"/>
      <c r="AF181" s="360"/>
      <c r="AG181" s="360"/>
      <c r="AH181" s="360"/>
    </row>
    <row r="182" spans="3:34" hidden="1" outlineLevel="1">
      <c r="C182" s="265"/>
      <c r="D182" s="339"/>
      <c r="E182" s="6"/>
      <c r="F182" s="6"/>
      <c r="G182" s="12"/>
      <c r="H182" s="6"/>
      <c r="I182" s="244"/>
      <c r="J182" s="7"/>
      <c r="K182" s="6"/>
      <c r="L182" s="244"/>
      <c r="M182" s="12"/>
      <c r="N182" s="6"/>
      <c r="O182" s="268"/>
      <c r="P182" s="252"/>
      <c r="Q182" s="253"/>
      <c r="R182" s="254"/>
      <c r="S182" s="255"/>
      <c r="T182" s="223"/>
      <c r="U182" s="7"/>
      <c r="V182" s="8"/>
      <c r="W182" s="58"/>
      <c r="X182" s="7"/>
      <c r="Y182" s="7"/>
      <c r="AF182" s="360"/>
      <c r="AG182" s="360"/>
      <c r="AH182" s="360"/>
    </row>
    <row r="183" spans="3:34" hidden="1" outlineLevel="1">
      <c r="C183" s="265"/>
      <c r="D183" s="339"/>
      <c r="E183" s="6"/>
      <c r="F183" s="6"/>
      <c r="G183" s="12"/>
      <c r="H183" s="6"/>
      <c r="I183" s="244"/>
      <c r="J183" s="7"/>
      <c r="K183" s="6"/>
      <c r="L183" s="244"/>
      <c r="M183" s="12"/>
      <c r="N183" s="6"/>
      <c r="O183" s="244"/>
      <c r="P183" s="252"/>
      <c r="Q183" s="253"/>
      <c r="R183" s="254"/>
      <c r="S183" s="255"/>
      <c r="T183" s="223"/>
      <c r="U183" s="7"/>
      <c r="V183" s="8"/>
      <c r="W183" s="58"/>
      <c r="X183" s="7"/>
      <c r="Y183" s="7"/>
      <c r="AF183" s="360"/>
      <c r="AG183" s="360"/>
      <c r="AH183" s="360"/>
    </row>
    <row r="184" spans="3:34" collapsed="1">
      <c r="C184" s="364"/>
      <c r="D184" s="365"/>
      <c r="E184" s="58"/>
      <c r="F184" s="58"/>
      <c r="G184" s="58"/>
      <c r="H184" s="58"/>
      <c r="I184" s="58"/>
      <c r="J184" s="58"/>
      <c r="K184" s="6"/>
      <c r="L184" s="58"/>
      <c r="M184" s="58"/>
      <c r="N184" s="58"/>
      <c r="O184" s="58"/>
      <c r="P184" s="366"/>
      <c r="Q184" s="58"/>
      <c r="R184" s="254"/>
      <c r="S184" s="58"/>
      <c r="T184" s="223"/>
      <c r="U184" s="7"/>
      <c r="V184" s="8"/>
      <c r="W184" s="58"/>
      <c r="X184" s="58"/>
      <c r="Y184" s="58"/>
      <c r="AF184" s="360"/>
      <c r="AG184" s="360"/>
      <c r="AH184" s="360"/>
    </row>
    <row r="185" spans="3:34">
      <c r="K185" s="14"/>
      <c r="Q185" s="58"/>
      <c r="R185" s="254"/>
      <c r="S185" s="58"/>
      <c r="T185" s="223"/>
      <c r="U185" s="7"/>
      <c r="V185" s="8"/>
      <c r="W185" s="58"/>
      <c r="AF185" s="360"/>
      <c r="AG185" s="360"/>
      <c r="AH185" s="360"/>
    </row>
    <row r="186" spans="3:34">
      <c r="Q186" s="58"/>
      <c r="R186" s="254"/>
      <c r="S186" s="58"/>
      <c r="T186" s="223"/>
      <c r="U186" s="7"/>
      <c r="V186" s="8"/>
      <c r="W186" s="58"/>
    </row>
    <row r="187" spans="3:34">
      <c r="Q187" s="58"/>
      <c r="R187" s="58"/>
      <c r="S187" s="58"/>
      <c r="T187" s="58"/>
      <c r="U187" s="58"/>
      <c r="V187" s="58"/>
      <c r="W187" s="58"/>
    </row>
    <row r="188" spans="3:34">
      <c r="W188" s="58"/>
    </row>
    <row r="189" spans="3:34">
      <c r="W189" s="58"/>
    </row>
    <row r="190" spans="3:34">
      <c r="W190" s="58"/>
    </row>
    <row r="191" spans="3:34">
      <c r="W191" s="58"/>
    </row>
    <row r="192" spans="3:34">
      <c r="W192" s="58"/>
    </row>
    <row r="193" spans="23:23">
      <c r="W193" s="58"/>
    </row>
    <row r="194" spans="23:23">
      <c r="W194" s="58"/>
    </row>
    <row r="195" spans="23:23">
      <c r="W195" s="58"/>
    </row>
    <row r="196" spans="23:23">
      <c r="W196" s="58"/>
    </row>
    <row r="197" spans="23:23">
      <c r="W197" s="58"/>
    </row>
    <row r="198" spans="23:23">
      <c r="W198" s="58"/>
    </row>
  </sheetData>
  <conditionalFormatting sqref="K28">
    <cfRule type="cellIs" dxfId="3" priority="9" operator="equal">
      <formula>"b 3"</formula>
    </cfRule>
  </conditionalFormatting>
  <conditionalFormatting sqref="C24 O55">
    <cfRule type="cellIs" dxfId="2" priority="8" operator="equal">
      <formula>"b 3"</formula>
    </cfRule>
  </conditionalFormatting>
  <printOptions horizontalCentered="1"/>
  <pageMargins left="0.39370078740157483" right="0.15748031496062992" top="0.19685039370078741" bottom="0.39370078740157483" header="0.70866141732283472" footer="0.51181102362204722"/>
  <pageSetup paperSize="9" fitToHeight="9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2">
    <tabColor rgb="FF00B050"/>
  </sheetPr>
  <dimension ref="A1:AC86"/>
  <sheetViews>
    <sheetView tabSelected="1" topLeftCell="C31" zoomScaleNormal="100" workbookViewId="0">
      <selection activeCell="S61" sqref="S61"/>
    </sheetView>
  </sheetViews>
  <sheetFormatPr baseColWidth="10" defaultRowHeight="12.75" outlineLevelRow="1" outlineLevelCol="1"/>
  <cols>
    <col min="1" max="1" width="3" style="56" hidden="1" customWidth="1" outlineLevel="1"/>
    <col min="2" max="2" width="6.42578125" style="14" hidden="1" customWidth="1" outlineLevel="1"/>
    <col min="3" max="3" width="3.7109375" style="56" customWidth="1" collapsed="1"/>
    <col min="4" max="4" width="4.85546875" style="56" customWidth="1"/>
    <col min="5" max="5" width="3.28515625" style="56" customWidth="1"/>
    <col min="6" max="6" width="4.140625" style="56" customWidth="1"/>
    <col min="7" max="7" width="3.140625" style="56" customWidth="1"/>
    <col min="8" max="8" width="2.7109375" style="56" hidden="1" customWidth="1" outlineLevel="1"/>
    <col min="9" max="9" width="18.7109375" style="56" customWidth="1" collapsed="1"/>
    <col min="10" max="10" width="1.42578125" style="56" customWidth="1"/>
    <col min="11" max="11" width="2.7109375" style="56" hidden="1" customWidth="1" outlineLevel="1"/>
    <col min="12" max="12" width="18.7109375" style="56" customWidth="1" collapsed="1"/>
    <col min="13" max="13" width="3.140625" style="56" customWidth="1"/>
    <col min="14" max="14" width="2.7109375" style="56" hidden="1" customWidth="1" outlineLevel="1"/>
    <col min="15" max="15" width="18.7109375" style="56" customWidth="1" collapsed="1"/>
    <col min="16" max="16" width="4.85546875" style="235" customWidth="1" outlineLevel="1"/>
    <col min="17" max="17" width="2.7109375" style="56" customWidth="1" outlineLevel="1"/>
    <col min="18" max="18" width="1.42578125" style="56" customWidth="1" outlineLevel="1"/>
    <col min="19" max="19" width="2.7109375" style="57" customWidth="1" outlineLevel="1"/>
    <col min="20" max="20" width="2.7109375" style="56" customWidth="1" outlineLevel="1"/>
    <col min="21" max="21" width="1.42578125" style="56" customWidth="1" outlineLevel="1"/>
    <col min="22" max="22" width="2.7109375" style="56" customWidth="1" outlineLevel="1"/>
    <col min="23" max="23" width="1.42578125" style="56" customWidth="1"/>
    <col min="24" max="25" width="8.28515625" style="56" hidden="1" customWidth="1" outlineLevel="1"/>
    <col min="26" max="26" width="3.5703125" style="47" customWidth="1" collapsed="1"/>
    <col min="27" max="27" width="4" style="14" customWidth="1"/>
    <col min="28" max="16384" width="11.42578125" style="56"/>
  </cols>
  <sheetData>
    <row r="1" spans="1:27" s="229" customFormat="1" ht="18.95" customHeight="1">
      <c r="B1" s="14"/>
      <c r="C1" s="9" t="str">
        <f>Daten!A1&amp;" "&amp;Daten!B1&amp;" "&amp;Daten!L1</f>
        <v>35. Deutschlandpokal der Jugend 2018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1"/>
      <c r="Q1" s="230"/>
      <c r="R1" s="230"/>
      <c r="S1" s="232"/>
      <c r="T1" s="230"/>
      <c r="U1" s="230"/>
      <c r="V1" s="230"/>
      <c r="W1" s="230"/>
      <c r="X1" s="230"/>
      <c r="Y1" s="230"/>
      <c r="Z1" s="286"/>
      <c r="AA1" s="14"/>
    </row>
    <row r="2" spans="1:27" ht="19.5" customHeight="1">
      <c r="C2" s="218" t="str">
        <f>+Daten!A40</f>
        <v>10.06.2018</v>
      </c>
      <c r="D2" s="233"/>
      <c r="I2" s="335" t="str">
        <f>+Daten!O40</f>
        <v>Schul- und Sportzentzum Rothenstein, 58540 Meinerzhagen</v>
      </c>
      <c r="L2" s="234"/>
    </row>
    <row r="3" spans="1:27" ht="12" customHeight="1">
      <c r="D3" s="233"/>
      <c r="I3" s="234"/>
      <c r="L3" s="234"/>
    </row>
    <row r="4" spans="1:27" hidden="1" outlineLevel="1">
      <c r="A4" s="14"/>
      <c r="C4" s="14" t="s">
        <v>140</v>
      </c>
      <c r="D4" s="14"/>
      <c r="E4" s="14"/>
      <c r="F4" s="14"/>
      <c r="G4" s="14"/>
      <c r="H4" s="14"/>
      <c r="I4" s="14" t="s">
        <v>139</v>
      </c>
      <c r="J4" s="14"/>
      <c r="K4" s="14"/>
      <c r="L4" s="14" t="s">
        <v>179</v>
      </c>
      <c r="M4" s="14"/>
      <c r="N4" s="14"/>
      <c r="O4" s="14" t="s">
        <v>178</v>
      </c>
      <c r="P4" s="236"/>
      <c r="Q4" s="14"/>
      <c r="R4" s="14"/>
      <c r="S4" s="237"/>
      <c r="T4" s="14"/>
      <c r="U4" s="14"/>
      <c r="V4" s="14"/>
      <c r="W4" s="14"/>
      <c r="X4" s="14"/>
      <c r="Y4" s="14"/>
    </row>
    <row r="5" spans="1:27" hidden="1" outlineLevel="1">
      <c r="A5" s="14">
        <v>1</v>
      </c>
      <c r="C5" s="14" t="str">
        <f>IF('w11-14'!AC6="","1."&amp;'w11-14'!$D$5,'w11-14'!AC6)</f>
        <v>Westfalen</v>
      </c>
      <c r="D5" s="14"/>
      <c r="E5" s="14"/>
      <c r="F5" s="14"/>
      <c r="G5" s="14"/>
      <c r="H5" s="14"/>
      <c r="I5" s="14" t="str">
        <f>IF('m11-14'!AC6="","1."&amp;'m11-14'!$D$5,'m11-14'!AC6)</f>
        <v>Niedersachsen</v>
      </c>
      <c r="J5" s="14"/>
      <c r="K5" s="14"/>
      <c r="L5" s="14" t="str">
        <f>IF('w15-18'!AC6="","1."&amp;'w15-18'!$D$5,'w15-18'!AC6)</f>
        <v>Bremen</v>
      </c>
      <c r="M5" s="14"/>
      <c r="N5" s="14"/>
      <c r="O5" s="14" t="str">
        <f>IF('m15-18'!AC6="","1."&amp;'m15-18'!$D$5,'m15-18'!AC6)</f>
        <v>Westfalen</v>
      </c>
      <c r="P5" s="14"/>
      <c r="Q5" s="14"/>
      <c r="R5" s="14"/>
      <c r="S5" s="237"/>
      <c r="T5" s="14"/>
      <c r="U5" s="14"/>
      <c r="V5" s="14"/>
      <c r="W5" s="14"/>
      <c r="X5" s="14"/>
      <c r="Y5" s="14"/>
    </row>
    <row r="6" spans="1:27" hidden="1" outlineLevel="1">
      <c r="A6" s="14">
        <v>2</v>
      </c>
      <c r="C6" s="14" t="str">
        <f>IF('w11-14'!AC8="","2."&amp;'w11-14'!$D$5,'w11-14'!AC8)</f>
        <v>Niedersachsen</v>
      </c>
      <c r="D6" s="14"/>
      <c r="E6" s="14"/>
      <c r="F6" s="14"/>
      <c r="G6" s="14"/>
      <c r="H6" s="14"/>
      <c r="I6" s="14" t="str">
        <f>IF('m11-14'!AC8="","2."&amp;'m11-14'!$D$5,'m11-14'!AC8)</f>
        <v>Baden</v>
      </c>
      <c r="J6" s="14"/>
      <c r="K6" s="14"/>
      <c r="L6" s="14" t="str">
        <f>IF('w15-18'!AC8="","2."&amp;'w15-18'!$D$5,'w15-18'!AC8)</f>
        <v>Rheinland</v>
      </c>
      <c r="M6" s="14"/>
      <c r="N6" s="14"/>
      <c r="O6" s="14" t="str">
        <f>IF('m15-18'!AC8="","2."&amp;'m15-18'!$D$5,'m15-18'!AC8)</f>
        <v>Baden</v>
      </c>
      <c r="P6" s="14"/>
      <c r="Q6" s="14"/>
      <c r="R6" s="14"/>
      <c r="S6" s="237"/>
      <c r="T6" s="14"/>
      <c r="U6" s="14"/>
      <c r="V6" s="14"/>
      <c r="W6" s="14"/>
      <c r="X6" s="14"/>
      <c r="Y6" s="14"/>
    </row>
    <row r="7" spans="1:27" hidden="1" outlineLevel="1">
      <c r="A7" s="14">
        <v>3</v>
      </c>
      <c r="C7" s="14" t="str">
        <f>IF('w11-14'!AC10="","3."&amp;'w11-14'!$D$5,'w11-14'!AC10)</f>
        <v>Baden</v>
      </c>
      <c r="D7" s="14"/>
      <c r="E7" s="14"/>
      <c r="F7" s="14"/>
      <c r="G7" s="14"/>
      <c r="H7" s="14"/>
      <c r="I7" s="14" t="str">
        <f>IF('m11-14'!AC10="","3."&amp;'m11-14'!$D$5,'m11-14'!AC10)</f>
        <v>Bremen</v>
      </c>
      <c r="J7" s="14"/>
      <c r="K7" s="14"/>
      <c r="L7" s="14" t="str">
        <f>IF('w15-18'!AC10="","3."&amp;'w15-18'!$D$5,'w15-18'!AC10)</f>
        <v>Berlin</v>
      </c>
      <c r="M7" s="14"/>
      <c r="N7" s="14"/>
      <c r="O7" s="14" t="str">
        <f>IF('m15-18'!AC10="","3."&amp;'m15-18'!$D$5,'m15-18'!AC10)</f>
        <v>Pfalz</v>
      </c>
      <c r="P7" s="14"/>
      <c r="Q7" s="14"/>
      <c r="R7" s="14"/>
      <c r="S7" s="237"/>
      <c r="T7" s="14"/>
      <c r="U7" s="14"/>
      <c r="V7" s="14"/>
      <c r="W7" s="14"/>
      <c r="X7" s="14"/>
      <c r="Y7" s="14"/>
    </row>
    <row r="8" spans="1:27" hidden="1" outlineLevel="1">
      <c r="A8" s="14">
        <v>4</v>
      </c>
      <c r="C8" s="14" t="str">
        <f>IF('w11-14'!AC12="","Platz7-9 / 4."&amp;'w11-14'!$D$5,'w11-14'!AC12)</f>
        <v>Rheinland</v>
      </c>
      <c r="D8" s="14"/>
      <c r="E8" s="14"/>
      <c r="F8" s="14"/>
      <c r="G8" s="14"/>
      <c r="H8" s="14"/>
      <c r="I8" s="14" t="str">
        <f>IF('m11-14'!AC12="","Platz7-9 / 4."&amp;'m11-14'!$D$5,'m11-14'!AC12)</f>
        <v>Westfalen</v>
      </c>
      <c r="J8" s="14"/>
      <c r="K8" s="14"/>
      <c r="L8" s="14" t="str">
        <f>IF('w15-18'!AC12="","Platz7-8 /4."&amp;'w15-18'!$D$5,'w15-18'!AC12)</f>
        <v>Baden</v>
      </c>
      <c r="M8" s="14"/>
      <c r="N8" s="14"/>
      <c r="O8" s="14" t="str">
        <f>IF('m15-18'!AC12="","Platz7-9 / 4."&amp;'m15-18'!$D$5,'m15-18'!AC12)</f>
        <v>Niedersachsen</v>
      </c>
      <c r="P8" s="14"/>
      <c r="Q8" s="14"/>
      <c r="R8" s="14"/>
      <c r="S8" s="237"/>
      <c r="T8" s="14"/>
      <c r="U8" s="14"/>
      <c r="V8" s="14"/>
      <c r="W8" s="14"/>
      <c r="X8" s="14"/>
      <c r="Y8" s="14"/>
    </row>
    <row r="9" spans="1:27" hidden="1" outlineLevel="1">
      <c r="A9" s="14">
        <v>5</v>
      </c>
      <c r="C9" s="14" t="str">
        <f>IF('w11-14'!AC14="","Platz7-9 / 5."&amp;'w11-14'!$D$5,'w11-14'!AC14)</f>
        <v>Pfalz</v>
      </c>
      <c r="D9" s="14"/>
      <c r="E9" s="14"/>
      <c r="F9" s="14"/>
      <c r="G9" s="14"/>
      <c r="H9" s="14"/>
      <c r="I9" s="14" t="str">
        <f>IF('m11-14'!AC14="","Platz7-9 / 5."&amp;'m11-14'!$D$5,'m11-14'!AC14)</f>
        <v>Pfalz</v>
      </c>
      <c r="J9" s="14"/>
      <c r="K9" s="14"/>
      <c r="L9" s="327" t="str">
        <f>IF('w15-18'!AC14="","5."&amp;'w15-18'!$D$5,'w15-18'!AC14)</f>
        <v>5.Gruppe E</v>
      </c>
      <c r="M9" s="14"/>
      <c r="N9" s="14"/>
      <c r="O9" s="14" t="str">
        <f>IF('m15-18'!AC14="","Platz7-9 / 5."&amp;'m15-18'!$D$5,'m15-18'!AC14)</f>
        <v>Berlin</v>
      </c>
      <c r="P9" s="238"/>
      <c r="Q9" s="14"/>
      <c r="R9" s="14"/>
      <c r="S9" s="237"/>
      <c r="T9" s="14"/>
      <c r="U9" s="14"/>
      <c r="V9" s="14"/>
      <c r="W9" s="14"/>
      <c r="X9" s="14"/>
      <c r="Y9" s="14"/>
    </row>
    <row r="10" spans="1:27" hidden="1" outlineLevel="1">
      <c r="A10" s="14">
        <v>6</v>
      </c>
      <c r="C10" s="327" t="e">
        <f>IF(#REF!="","6."&amp;#REF!,#REF!)</f>
        <v>#REF!</v>
      </c>
      <c r="D10" s="327"/>
      <c r="E10" s="327"/>
      <c r="F10" s="327"/>
      <c r="G10" s="14"/>
      <c r="H10" s="14"/>
      <c r="I10" s="327" t="e">
        <f>IF(#REF!="","6."&amp;#REF!,#REF!)</f>
        <v>#REF!</v>
      </c>
      <c r="J10" s="14"/>
      <c r="K10" s="14"/>
      <c r="L10" s="327" t="str">
        <f>IF('w15-18'!AC16="","6."&amp;'w15-18'!$D$5,'w15-18'!AC16)</f>
        <v>6.Gruppe E</v>
      </c>
      <c r="M10" s="14"/>
      <c r="N10" s="14"/>
      <c r="O10" s="327" t="str">
        <f>IF('m15-18'!AC16="","6."&amp;'m15-18'!$D$5,'m15-18'!AC16)</f>
        <v>6.Gruppe G</v>
      </c>
      <c r="P10" s="14"/>
      <c r="Q10" s="14"/>
      <c r="R10" s="14"/>
      <c r="S10" s="237"/>
      <c r="T10" s="14"/>
      <c r="U10" s="14"/>
      <c r="V10" s="14"/>
      <c r="W10" s="14"/>
      <c r="X10" s="14"/>
      <c r="Y10" s="14"/>
    </row>
    <row r="11" spans="1:27" hidden="1" outlineLevel="1">
      <c r="A11" s="14">
        <v>7</v>
      </c>
      <c r="C11" s="327" t="e">
        <f>IF(#REF!="","Platz 5-7 / 7."&amp;#REF!,#REF!)</f>
        <v>#REF!</v>
      </c>
      <c r="D11" s="327"/>
      <c r="E11" s="327"/>
      <c r="F11" s="327"/>
      <c r="G11" s="14"/>
      <c r="H11" s="14"/>
      <c r="I11" s="327" t="e">
        <f>IF(#REF!="","Platz 5-7 / 7."&amp;#REF!,#REF!)</f>
        <v>#REF!</v>
      </c>
      <c r="J11" s="14"/>
      <c r="K11" s="14"/>
      <c r="L11" s="14"/>
      <c r="M11" s="14"/>
      <c r="N11" s="14"/>
      <c r="O11" s="327" t="str">
        <f>IF('m15-18'!AC18="","Platz 5-7 / 7."&amp;'m15-18'!$D$5,'m15-18'!AC18)</f>
        <v>Platz 5-7 / 7.Gruppe G</v>
      </c>
      <c r="P11" s="14"/>
      <c r="Q11" s="14"/>
      <c r="R11" s="14"/>
      <c r="S11" s="237"/>
      <c r="T11" s="14"/>
      <c r="U11" s="14"/>
      <c r="V11" s="14"/>
      <c r="W11" s="14"/>
      <c r="X11" s="14"/>
      <c r="Y11" s="14"/>
    </row>
    <row r="12" spans="1:27" hidden="1" outlineLevel="1">
      <c r="A12" s="14">
        <v>11</v>
      </c>
      <c r="C12" s="14" t="str">
        <f>IF('w11-14'!AC25="","1."&amp;'w11-14'!$D$24,'w11-14'!AC25)</f>
        <v>Bremen</v>
      </c>
      <c r="D12" s="14"/>
      <c r="E12" s="14"/>
      <c r="F12" s="14"/>
      <c r="G12" s="14"/>
      <c r="H12" s="14"/>
      <c r="I12" s="14" t="str">
        <f>IF('m11-14'!Y25="","1."&amp;'m11-14'!$D$24,'m11-14'!AC25)</f>
        <v>Sachsen</v>
      </c>
      <c r="J12" s="14"/>
      <c r="K12" s="14"/>
      <c r="L12" s="14" t="str">
        <f>IF('w15-18'!AC25="","1."&amp;'w15-18'!$D$24,'w15-18'!AC25)</f>
        <v>Niedersachsen</v>
      </c>
      <c r="M12" s="14"/>
      <c r="N12" s="14"/>
      <c r="O12" s="14" t="str">
        <f>IF('m15-18'!AC25="","1."&amp;'m15-18'!$D$24,'m15-18'!AC25)</f>
        <v>Schwaben</v>
      </c>
      <c r="P12" s="14"/>
      <c r="Q12" s="14"/>
      <c r="R12" s="14"/>
      <c r="S12" s="237"/>
      <c r="T12" s="14"/>
      <c r="U12" s="14"/>
      <c r="V12" s="14"/>
      <c r="W12" s="14"/>
      <c r="X12" s="14"/>
      <c r="Y12" s="14"/>
    </row>
    <row r="13" spans="1:27" hidden="1" outlineLevel="1">
      <c r="A13" s="14">
        <v>12</v>
      </c>
      <c r="C13" s="14" t="str">
        <f>IF('w11-14'!AC27="","2."&amp;'w11-14'!$D$24,'w11-14'!AC27)</f>
        <v>Schwaben</v>
      </c>
      <c r="D13" s="14"/>
      <c r="E13" s="14"/>
      <c r="F13" s="14"/>
      <c r="G13" s="14"/>
      <c r="H13" s="14"/>
      <c r="I13" s="14" t="str">
        <f>IF('m11-14'!Y27="","2."&amp;'m11-14'!$D$24,'m11-14'!AC27)</f>
        <v>Schwaben</v>
      </c>
      <c r="J13" s="14"/>
      <c r="K13" s="14"/>
      <c r="L13" s="14" t="str">
        <f>IF('w15-18'!AC27="","2."&amp;'w15-18'!$D$24,'w15-18'!AC27)</f>
        <v>Westfalen</v>
      </c>
      <c r="M13" s="14"/>
      <c r="N13" s="14"/>
      <c r="O13" s="14" t="str">
        <f>IF('m15-18'!AC27="","2."&amp;'m15-18'!$D$24,'m15-18'!AC27)</f>
        <v>Bremen</v>
      </c>
      <c r="P13" s="14"/>
      <c r="Q13" s="14"/>
      <c r="R13" s="14"/>
      <c r="S13" s="237"/>
      <c r="T13" s="14"/>
      <c r="U13" s="14"/>
      <c r="V13" s="14"/>
      <c r="W13" s="14"/>
      <c r="X13" s="14"/>
      <c r="Y13" s="14"/>
    </row>
    <row r="14" spans="1:27" hidden="1" outlineLevel="1">
      <c r="A14" s="14">
        <v>13</v>
      </c>
      <c r="C14" s="14" t="str">
        <f>IF('w11-14'!AC29="","3."&amp;'w11-14'!$D$24,'w11-14'!AC29)</f>
        <v>Hessen</v>
      </c>
      <c r="D14" s="14"/>
      <c r="E14" s="14"/>
      <c r="F14" s="14"/>
      <c r="G14" s="14"/>
      <c r="H14" s="14"/>
      <c r="I14" s="14" t="str">
        <f>IF('m11-14'!Y29="","3."&amp;'m11-14'!$D$24,'m11-14'!AC29)</f>
        <v>Rheinland</v>
      </c>
      <c r="J14" s="14"/>
      <c r="K14" s="14"/>
      <c r="L14" s="14" t="str">
        <f>IF('w15-18'!AC29="","3."&amp;'w15-18'!$D$24,'w15-18'!AC29)</f>
        <v>Pfalz</v>
      </c>
      <c r="M14" s="14"/>
      <c r="N14" s="14"/>
      <c r="O14" s="14" t="str">
        <f>IF('m15-18'!AC29="","3."&amp;'m15-18'!$D$24,'m15-18'!AC29)</f>
        <v>Sachsen</v>
      </c>
      <c r="P14" s="14"/>
      <c r="Q14" s="14"/>
      <c r="R14" s="14"/>
      <c r="S14" s="237"/>
      <c r="T14" s="14"/>
      <c r="U14" s="14"/>
      <c r="V14" s="14"/>
      <c r="W14" s="14"/>
      <c r="X14" s="14"/>
      <c r="Y14" s="14"/>
    </row>
    <row r="15" spans="1:27" hidden="1" outlineLevel="1">
      <c r="A15" s="14">
        <v>14</v>
      </c>
      <c r="C15" s="14" t="str">
        <f>IF('w11-14'!AC31="","Platz7-9 / 4."&amp;'w11-14'!$D$24,'w11-14'!AC31)</f>
        <v>Berlin</v>
      </c>
      <c r="D15" s="14"/>
      <c r="E15" s="14"/>
      <c r="F15" s="14"/>
      <c r="G15" s="14"/>
      <c r="H15" s="14"/>
      <c r="I15" s="14" t="str">
        <f>IF('m11-14'!Y31="","Platz7-9 / 4."&amp;'m11-14'!$D$24,'m11-14'!AC31)</f>
        <v>Berlin</v>
      </c>
      <c r="J15" s="14"/>
      <c r="K15" s="14"/>
      <c r="L15" s="14" t="str">
        <f>IF('w15-18'!AC31="","Platz7-8 /4."&amp;'w15-18'!$D$24,'w15-18'!AC31)</f>
        <v>Schwaben</v>
      </c>
      <c r="M15" s="14"/>
      <c r="N15" s="14"/>
      <c r="O15" s="14" t="str">
        <f>IF('m15-18'!AC31="","Platz7-9 / 4."&amp;'m15-18'!$D$24,'m15-18'!AC31)</f>
        <v>Rheinland</v>
      </c>
      <c r="P15" s="14"/>
      <c r="Q15" s="14"/>
      <c r="R15" s="14"/>
      <c r="S15" s="237"/>
      <c r="T15" s="14"/>
      <c r="U15" s="14"/>
      <c r="V15" s="14"/>
      <c r="W15" s="14"/>
      <c r="X15" s="14"/>
      <c r="Y15" s="14"/>
    </row>
    <row r="16" spans="1:27" hidden="1" outlineLevel="1">
      <c r="A16" s="14">
        <v>15</v>
      </c>
      <c r="C16" s="327" t="str">
        <f>IF('w11-14'!AC33="","5."&amp;'w11-14'!$D$24,'w11-14'!AC33)</f>
        <v>5.Gruppe B</v>
      </c>
      <c r="D16" s="327"/>
      <c r="E16" s="327"/>
      <c r="F16" s="327"/>
      <c r="G16" s="14"/>
      <c r="H16" s="14"/>
      <c r="I16" s="327">
        <f>IF('m11-14'!Y32="","4."&amp;'m11-14'!$D$24,'m11-14'!AC32)</f>
        <v>0</v>
      </c>
      <c r="J16" s="14"/>
      <c r="K16" s="14"/>
      <c r="L16" s="327" t="str">
        <f>IF('w15-18'!AC33="","5."&amp;'w15-18'!$D$24,'w15-18'!AC33)</f>
        <v>5.Gruppe F</v>
      </c>
      <c r="M16" s="14"/>
      <c r="N16" s="14"/>
      <c r="O16" s="327" t="str">
        <f>IF('m15-18'!AC33="","5."&amp;'m15-18'!$D$24,'m15-18'!AC33)</f>
        <v>5.Gruppe H</v>
      </c>
      <c r="P16" s="238"/>
      <c r="Q16" s="14"/>
      <c r="R16" s="14"/>
      <c r="S16" s="237"/>
      <c r="T16" s="14"/>
      <c r="U16" s="14"/>
      <c r="V16" s="14"/>
      <c r="W16" s="14"/>
      <c r="X16" s="14"/>
      <c r="Y16" s="14"/>
    </row>
    <row r="17" spans="1:29" s="14" customFormat="1" ht="11.25" hidden="1" outlineLevel="1">
      <c r="A17" s="14">
        <v>16</v>
      </c>
      <c r="P17" s="236"/>
      <c r="S17" s="237"/>
      <c r="Z17" s="47"/>
    </row>
    <row r="18" spans="1:29" hidden="1" outlineLevel="1">
      <c r="A18" s="14">
        <v>17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236"/>
      <c r="Q18" s="14"/>
      <c r="R18" s="14"/>
      <c r="S18" s="237"/>
      <c r="T18" s="14"/>
      <c r="U18" s="14"/>
      <c r="V18" s="14"/>
      <c r="W18" s="14"/>
      <c r="X18" s="14"/>
      <c r="Y18" s="14"/>
    </row>
    <row r="19" spans="1:29" hidden="1" outlineLevel="1">
      <c r="A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236"/>
      <c r="Q19" s="14"/>
      <c r="R19" s="14"/>
      <c r="S19" s="237"/>
      <c r="T19" s="14"/>
      <c r="U19" s="14"/>
      <c r="V19" s="14"/>
      <c r="W19" s="14"/>
      <c r="X19" s="14"/>
      <c r="Y19" s="14"/>
    </row>
    <row r="20" spans="1:29" hidden="1" outlineLevel="1">
      <c r="A20" s="14"/>
      <c r="C20" s="14"/>
      <c r="I20" s="14"/>
      <c r="J20" s="14"/>
      <c r="K20" s="14"/>
      <c r="L20" s="14"/>
      <c r="M20" s="14"/>
      <c r="N20" s="14"/>
      <c r="O20" s="14"/>
    </row>
    <row r="21" spans="1:29" ht="5.0999999999999996" hidden="1" customHeight="1" outlineLevel="1"/>
    <row r="22" spans="1:29" s="14" customFormat="1" ht="12.75" customHeight="1" collapsed="1" thickBot="1">
      <c r="C22" s="239" t="s">
        <v>30</v>
      </c>
      <c r="D22" s="239" t="s">
        <v>0</v>
      </c>
      <c r="E22" s="239" t="s">
        <v>31</v>
      </c>
      <c r="F22" s="239" t="s">
        <v>32</v>
      </c>
      <c r="G22" s="239"/>
      <c r="H22" s="239"/>
      <c r="I22" s="239" t="s">
        <v>33</v>
      </c>
      <c r="J22" s="239"/>
      <c r="K22" s="239"/>
      <c r="L22" s="239" t="s">
        <v>33</v>
      </c>
      <c r="M22" s="239"/>
      <c r="N22" s="239"/>
      <c r="O22" s="239" t="s">
        <v>34</v>
      </c>
      <c r="P22" s="240" t="s">
        <v>35</v>
      </c>
      <c r="Q22" s="239"/>
      <c r="R22" s="239" t="s">
        <v>36</v>
      </c>
      <c r="S22" s="241"/>
      <c r="T22" s="239"/>
      <c r="U22" s="239" t="s">
        <v>14</v>
      </c>
      <c r="V22" s="239"/>
      <c r="X22" s="239" t="s">
        <v>36</v>
      </c>
      <c r="Y22" s="239" t="s">
        <v>14</v>
      </c>
      <c r="Z22" s="287"/>
    </row>
    <row r="23" spans="1:29" ht="12.75" customHeight="1" thickTop="1">
      <c r="B23" s="242" t="s">
        <v>300</v>
      </c>
      <c r="C23" s="14">
        <v>1</v>
      </c>
      <c r="D23" s="243">
        <f>+Daten!P4</f>
        <v>0.375</v>
      </c>
      <c r="E23" s="14">
        <v>61</v>
      </c>
      <c r="F23" s="14">
        <v>1</v>
      </c>
      <c r="G23" s="242" t="s">
        <v>140</v>
      </c>
      <c r="H23" s="14">
        <v>14</v>
      </c>
      <c r="I23" s="244" t="str">
        <f t="shared" ref="I23:I42" ca="1" si="0">INDIRECT(ADDRESS(MATCH(H23,$A$1:$A$20,0),MATCH(G23,$A$4:$AF$4,0)))</f>
        <v>Berlin</v>
      </c>
      <c r="J23" s="245" t="s">
        <v>16</v>
      </c>
      <c r="K23" s="14">
        <v>5</v>
      </c>
      <c r="L23" s="244" t="str">
        <f t="shared" ref="L23:L38" ca="1" si="1">INDIRECT(ADDRESS(MATCH(K23,$A$1:$A$20,0),MATCH(G23,$A$4:$AF$4,0)))</f>
        <v>Pfalz</v>
      </c>
      <c r="M23" s="242" t="s">
        <v>140</v>
      </c>
      <c r="N23" s="60">
        <v>4</v>
      </c>
      <c r="O23" s="244" t="str">
        <f t="shared" ref="O23:O40" ca="1" si="2">INDIRECT(ADDRESS(MATCH(N23,$A$1:$A$20,0),MATCH(M23,$A$4:$AF$4,0)))</f>
        <v>Rheinland</v>
      </c>
      <c r="P23" s="246" t="s">
        <v>385</v>
      </c>
      <c r="Q23" s="253">
        <v>34</v>
      </c>
      <c r="R23" s="254" t="s">
        <v>15</v>
      </c>
      <c r="S23" s="247">
        <v>44</v>
      </c>
      <c r="T23" s="248">
        <f t="shared" ref="T23:T50" si="3">IF(Q23="","",IF(Q23&gt;S23,2,IF(Q23&lt;S23,0,1)))</f>
        <v>0</v>
      </c>
      <c r="U23" s="249" t="s">
        <v>15</v>
      </c>
      <c r="V23" s="250">
        <f t="shared" ref="V23:V50" si="4">IF(S23="","",IF(S23&gt;Q23,2,IF(S23&lt;Q23,0,1)))</f>
        <v>2</v>
      </c>
      <c r="W23" s="14"/>
      <c r="X23" s="245" t="s">
        <v>37</v>
      </c>
      <c r="Y23" s="245" t="s">
        <v>37</v>
      </c>
      <c r="Z23" s="245" t="s">
        <v>303</v>
      </c>
      <c r="AA23" s="14" t="s">
        <v>235</v>
      </c>
      <c r="AB23" s="14"/>
      <c r="AC23" s="14" t="str">
        <f t="shared" ref="AC23:AC41" si="5">MID(AA23,1,2)&amp;" "&amp;MID(AA23,7,3)</f>
        <v>Pl 7-9</v>
      </c>
    </row>
    <row r="24" spans="1:29" ht="12.75" customHeight="1">
      <c r="B24" s="242" t="s">
        <v>305</v>
      </c>
      <c r="C24" s="238">
        <v>1</v>
      </c>
      <c r="D24" s="14"/>
      <c r="E24" s="14">
        <f>+E23+1</f>
        <v>62</v>
      </c>
      <c r="F24" s="14">
        <v>2</v>
      </c>
      <c r="G24" s="251" t="s">
        <v>139</v>
      </c>
      <c r="H24" s="6">
        <v>14</v>
      </c>
      <c r="I24" s="244" t="str">
        <f t="shared" ca="1" si="0"/>
        <v>Berlin</v>
      </c>
      <c r="J24" s="7" t="s">
        <v>16</v>
      </c>
      <c r="K24" s="6">
        <v>5</v>
      </c>
      <c r="L24" s="244" t="str">
        <f t="shared" ca="1" si="1"/>
        <v>Pfalz</v>
      </c>
      <c r="M24" s="251" t="s">
        <v>139</v>
      </c>
      <c r="N24" s="11">
        <v>4</v>
      </c>
      <c r="O24" s="244" t="str">
        <f t="shared" ca="1" si="2"/>
        <v>Westfalen</v>
      </c>
      <c r="P24" s="252" t="s">
        <v>339</v>
      </c>
      <c r="Q24" s="253">
        <v>33</v>
      </c>
      <c r="R24" s="254" t="s">
        <v>15</v>
      </c>
      <c r="S24" s="255">
        <v>23</v>
      </c>
      <c r="T24" s="223">
        <f t="shared" si="3"/>
        <v>2</v>
      </c>
      <c r="U24" s="7" t="s">
        <v>15</v>
      </c>
      <c r="V24" s="8">
        <f t="shared" si="4"/>
        <v>0</v>
      </c>
      <c r="W24" s="14"/>
      <c r="X24" s="245" t="s">
        <v>37</v>
      </c>
      <c r="Y24" s="245" t="s">
        <v>37</v>
      </c>
      <c r="Z24" s="245" t="s">
        <v>303</v>
      </c>
      <c r="AA24" s="14" t="s">
        <v>235</v>
      </c>
      <c r="AB24" s="14"/>
      <c r="AC24" s="14" t="str">
        <f t="shared" si="5"/>
        <v>Pl 7-9</v>
      </c>
    </row>
    <row r="25" spans="1:29" ht="12.75" customHeight="1">
      <c r="B25" s="242" t="s">
        <v>236</v>
      </c>
      <c r="C25" s="238">
        <v>1</v>
      </c>
      <c r="D25" s="14"/>
      <c r="E25" s="14">
        <f t="shared" ref="E25:E60" si="6">+E24+1</f>
        <v>63</v>
      </c>
      <c r="F25" s="14">
        <v>3</v>
      </c>
      <c r="G25" s="242" t="s">
        <v>178</v>
      </c>
      <c r="H25" s="14">
        <v>14</v>
      </c>
      <c r="I25" s="244" t="str">
        <f t="shared" ca="1" si="0"/>
        <v>Rheinland</v>
      </c>
      <c r="J25" s="7" t="s">
        <v>16</v>
      </c>
      <c r="K25" s="14">
        <v>5</v>
      </c>
      <c r="L25" s="244" t="str">
        <f t="shared" ca="1" si="1"/>
        <v>Berlin</v>
      </c>
      <c r="M25" s="242" t="s">
        <v>178</v>
      </c>
      <c r="N25" s="60">
        <v>4</v>
      </c>
      <c r="O25" s="244" t="str">
        <f t="shared" ca="1" si="2"/>
        <v>Niedersachsen</v>
      </c>
      <c r="P25" s="252" t="s">
        <v>373</v>
      </c>
      <c r="Q25" s="253">
        <v>21</v>
      </c>
      <c r="R25" s="254" t="s">
        <v>15</v>
      </c>
      <c r="S25" s="255">
        <v>35</v>
      </c>
      <c r="T25" s="223">
        <f t="shared" si="3"/>
        <v>0</v>
      </c>
      <c r="U25" s="7" t="s">
        <v>15</v>
      </c>
      <c r="V25" s="8">
        <f t="shared" si="4"/>
        <v>2</v>
      </c>
      <c r="W25" s="14"/>
      <c r="X25" s="245" t="s">
        <v>37</v>
      </c>
      <c r="Y25" s="245" t="s">
        <v>37</v>
      </c>
      <c r="Z25" s="245" t="s">
        <v>46</v>
      </c>
      <c r="AA25" s="14" t="s">
        <v>235</v>
      </c>
      <c r="AB25" s="60"/>
      <c r="AC25" s="14" t="str">
        <f t="shared" si="5"/>
        <v>Pl 7-9</v>
      </c>
    </row>
    <row r="26" spans="1:29" ht="12.75" customHeight="1">
      <c r="B26" s="242" t="s">
        <v>276</v>
      </c>
      <c r="C26" s="256">
        <v>1</v>
      </c>
      <c r="D26" s="228"/>
      <c r="E26" s="228">
        <f>+E25+1</f>
        <v>64</v>
      </c>
      <c r="F26" s="228">
        <v>4</v>
      </c>
      <c r="G26" s="257" t="s">
        <v>179</v>
      </c>
      <c r="H26" s="228">
        <v>4</v>
      </c>
      <c r="I26" s="258" t="str">
        <f t="shared" ca="1" si="0"/>
        <v>Baden</v>
      </c>
      <c r="J26" s="5" t="s">
        <v>16</v>
      </c>
      <c r="K26" s="228">
        <v>14</v>
      </c>
      <c r="L26" s="258" t="str">
        <f t="shared" ca="1" si="1"/>
        <v>Schwaben</v>
      </c>
      <c r="M26" s="257" t="s">
        <v>179</v>
      </c>
      <c r="N26" s="273">
        <v>3</v>
      </c>
      <c r="O26" s="258" t="str">
        <f t="shared" ca="1" si="2"/>
        <v>Berlin</v>
      </c>
      <c r="P26" s="259" t="s">
        <v>372</v>
      </c>
      <c r="Q26" s="260">
        <v>34</v>
      </c>
      <c r="R26" s="261" t="s">
        <v>15</v>
      </c>
      <c r="S26" s="262">
        <v>29</v>
      </c>
      <c r="T26" s="263">
        <f t="shared" si="3"/>
        <v>2</v>
      </c>
      <c r="U26" s="5" t="s">
        <v>15</v>
      </c>
      <c r="V26" s="264">
        <f t="shared" si="4"/>
        <v>0</v>
      </c>
      <c r="W26" s="6"/>
      <c r="X26" s="5" t="s">
        <v>37</v>
      </c>
      <c r="Y26" s="5" t="s">
        <v>37</v>
      </c>
      <c r="Z26" s="245" t="s">
        <v>46</v>
      </c>
      <c r="AA26" s="60" t="s">
        <v>278</v>
      </c>
      <c r="AB26" s="60"/>
      <c r="AC26" s="14" t="str">
        <f t="shared" si="5"/>
        <v>Pl 7-8</v>
      </c>
    </row>
    <row r="27" spans="1:29" ht="12.75" customHeight="1">
      <c r="A27" s="14"/>
      <c r="B27" s="242" t="s">
        <v>309</v>
      </c>
      <c r="C27" s="6">
        <f>+C23+1</f>
        <v>2</v>
      </c>
      <c r="D27" s="243">
        <f>+Daten!P5</f>
        <v>0.3923611111111111</v>
      </c>
      <c r="E27" s="6">
        <f>+E26+1</f>
        <v>65</v>
      </c>
      <c r="F27" s="6">
        <v>1</v>
      </c>
      <c r="G27" s="242" t="s">
        <v>140</v>
      </c>
      <c r="H27" s="6">
        <v>2</v>
      </c>
      <c r="I27" s="244" t="str">
        <f t="shared" ca="1" si="0"/>
        <v>Niedersachsen</v>
      </c>
      <c r="J27" s="7" t="s">
        <v>16</v>
      </c>
      <c r="K27" s="6">
        <v>13</v>
      </c>
      <c r="L27" s="244" t="str">
        <f t="shared" ca="1" si="1"/>
        <v>Hessen</v>
      </c>
      <c r="M27" s="242" t="s">
        <v>140</v>
      </c>
      <c r="N27" s="11">
        <v>1</v>
      </c>
      <c r="O27" s="244" t="str">
        <f t="shared" ca="1" si="2"/>
        <v>Westfalen</v>
      </c>
      <c r="P27" s="252" t="s">
        <v>386</v>
      </c>
      <c r="Q27" s="253">
        <v>52</v>
      </c>
      <c r="R27" s="254" t="s">
        <v>15</v>
      </c>
      <c r="S27" s="255">
        <v>16</v>
      </c>
      <c r="T27" s="223">
        <f>IF(Q27="","",IF(Q27&gt;S27,2,IF(Q27&lt;S27,0,1)))</f>
        <v>2</v>
      </c>
      <c r="U27" s="7" t="s">
        <v>15</v>
      </c>
      <c r="V27" s="8">
        <f>IF(S27="","",IF(S27&gt;Q27,2,IF(S27&lt;Q27,0,1)))</f>
        <v>0</v>
      </c>
      <c r="W27" s="14"/>
      <c r="X27" s="7" t="s">
        <v>37</v>
      </c>
      <c r="Y27" s="7" t="s">
        <v>37</v>
      </c>
      <c r="Z27" s="245" t="s">
        <v>47</v>
      </c>
      <c r="AA27" s="60" t="s">
        <v>145</v>
      </c>
      <c r="AB27" s="60"/>
      <c r="AC27" s="14" t="str">
        <f t="shared" si="5"/>
        <v>Vo uz</v>
      </c>
    </row>
    <row r="28" spans="1:29" ht="12.75" customHeight="1">
      <c r="A28" s="14"/>
      <c r="B28" s="242" t="s">
        <v>310</v>
      </c>
      <c r="C28" s="265">
        <v>2</v>
      </c>
      <c r="D28" s="6"/>
      <c r="E28" s="6">
        <f>+E27+1</f>
        <v>66</v>
      </c>
      <c r="F28" s="6">
        <v>2</v>
      </c>
      <c r="G28" s="251" t="s">
        <v>140</v>
      </c>
      <c r="H28" s="6">
        <v>12</v>
      </c>
      <c r="I28" s="244" t="str">
        <f t="shared" ca="1" si="0"/>
        <v>Schwaben</v>
      </c>
      <c r="J28" s="7" t="s">
        <v>16</v>
      </c>
      <c r="K28" s="6">
        <v>3</v>
      </c>
      <c r="L28" s="244" t="str">
        <f t="shared" ca="1" si="1"/>
        <v>Baden</v>
      </c>
      <c r="M28" s="251" t="s">
        <v>140</v>
      </c>
      <c r="N28" s="11">
        <v>11</v>
      </c>
      <c r="O28" s="244" t="str">
        <f t="shared" ca="1" si="2"/>
        <v>Bremen</v>
      </c>
      <c r="P28" s="252" t="s">
        <v>377</v>
      </c>
      <c r="Q28" s="253">
        <v>31</v>
      </c>
      <c r="R28" s="254" t="s">
        <v>15</v>
      </c>
      <c r="S28" s="255">
        <v>28</v>
      </c>
      <c r="T28" s="223">
        <f>IF(Q28="","",IF(Q28&gt;S28,2,IF(Q28&lt;S28,0,1)))</f>
        <v>2</v>
      </c>
      <c r="U28" s="7" t="s">
        <v>15</v>
      </c>
      <c r="V28" s="8">
        <f>IF(S28="","",IF(S28&gt;Q28,2,IF(S28&lt;Q28,0,1)))</f>
        <v>0</v>
      </c>
      <c r="W28" s="6"/>
      <c r="X28" s="7" t="s">
        <v>37</v>
      </c>
      <c r="Y28" s="7" t="s">
        <v>37</v>
      </c>
      <c r="Z28" s="245" t="s">
        <v>47</v>
      </c>
      <c r="AA28" s="60" t="s">
        <v>145</v>
      </c>
      <c r="AB28" s="60"/>
      <c r="AC28" s="14" t="str">
        <f t="shared" si="5"/>
        <v>Vo uz</v>
      </c>
    </row>
    <row r="29" spans="1:29">
      <c r="B29" s="242" t="s">
        <v>180</v>
      </c>
      <c r="C29" s="238">
        <v>2</v>
      </c>
      <c r="D29" s="243"/>
      <c r="E29" s="14">
        <f>+E28+1</f>
        <v>67</v>
      </c>
      <c r="F29" s="14">
        <v>3</v>
      </c>
      <c r="G29" s="242" t="s">
        <v>139</v>
      </c>
      <c r="H29" s="14">
        <v>2</v>
      </c>
      <c r="I29" s="244" t="str">
        <f t="shared" ca="1" si="0"/>
        <v>Baden</v>
      </c>
      <c r="J29" s="245" t="s">
        <v>16</v>
      </c>
      <c r="K29" s="14">
        <v>13</v>
      </c>
      <c r="L29" s="244" t="str">
        <f ca="1">INDIRECT(ADDRESS(MATCH(K29,$A$1:$A$20,0),MATCH(G29,$A$4:$AF$4,0)))</f>
        <v>Rheinland</v>
      </c>
      <c r="M29" s="242" t="s">
        <v>139</v>
      </c>
      <c r="N29" s="60">
        <v>1</v>
      </c>
      <c r="O29" s="244" t="str">
        <f t="shared" ca="1" si="2"/>
        <v>Niedersachsen</v>
      </c>
      <c r="P29" s="252" t="s">
        <v>387</v>
      </c>
      <c r="Q29" s="296">
        <v>34</v>
      </c>
      <c r="R29" s="297" t="s">
        <v>15</v>
      </c>
      <c r="S29" s="295">
        <v>29</v>
      </c>
      <c r="T29" s="223">
        <f t="shared" si="3"/>
        <v>2</v>
      </c>
      <c r="U29" s="7" t="s">
        <v>15</v>
      </c>
      <c r="V29" s="8">
        <f t="shared" si="4"/>
        <v>0</v>
      </c>
      <c r="X29" s="245" t="s">
        <v>37</v>
      </c>
      <c r="Y29" s="245" t="s">
        <v>37</v>
      </c>
      <c r="Z29" s="245" t="s">
        <v>48</v>
      </c>
      <c r="AA29" s="60" t="s">
        <v>145</v>
      </c>
      <c r="AB29" s="60"/>
      <c r="AC29" s="14" t="str">
        <f t="shared" si="5"/>
        <v>Vo uz</v>
      </c>
    </row>
    <row r="30" spans="1:29">
      <c r="B30" s="242" t="s">
        <v>181</v>
      </c>
      <c r="C30" s="256">
        <v>2</v>
      </c>
      <c r="D30" s="228"/>
      <c r="E30" s="228">
        <f t="shared" si="6"/>
        <v>68</v>
      </c>
      <c r="F30" s="228">
        <v>4</v>
      </c>
      <c r="G30" s="257" t="s">
        <v>139</v>
      </c>
      <c r="H30" s="228">
        <v>12</v>
      </c>
      <c r="I30" s="258" t="str">
        <f t="shared" ca="1" si="0"/>
        <v>Schwaben</v>
      </c>
      <c r="J30" s="5" t="s">
        <v>16</v>
      </c>
      <c r="K30" s="228">
        <v>3</v>
      </c>
      <c r="L30" s="258" t="str">
        <f t="shared" ca="1" si="1"/>
        <v>Bremen</v>
      </c>
      <c r="M30" s="257" t="s">
        <v>139</v>
      </c>
      <c r="N30" s="273">
        <v>11</v>
      </c>
      <c r="O30" s="258" t="str">
        <f t="shared" ca="1" si="2"/>
        <v>Sachsen</v>
      </c>
      <c r="P30" s="259" t="s">
        <v>388</v>
      </c>
      <c r="Q30" s="260">
        <v>26</v>
      </c>
      <c r="R30" s="261" t="s">
        <v>15</v>
      </c>
      <c r="S30" s="262">
        <v>32</v>
      </c>
      <c r="T30" s="263">
        <f t="shared" si="3"/>
        <v>0</v>
      </c>
      <c r="U30" s="5" t="s">
        <v>15</v>
      </c>
      <c r="V30" s="264">
        <f t="shared" si="4"/>
        <v>2</v>
      </c>
      <c r="W30" s="58"/>
      <c r="X30" s="5" t="s">
        <v>37</v>
      </c>
      <c r="Y30" s="5" t="s">
        <v>37</v>
      </c>
      <c r="Z30" s="245" t="s">
        <v>48</v>
      </c>
      <c r="AA30" s="60" t="s">
        <v>145</v>
      </c>
      <c r="AB30" s="60"/>
      <c r="AC30" s="14" t="str">
        <f t="shared" si="5"/>
        <v>Vo uz</v>
      </c>
    </row>
    <row r="31" spans="1:29">
      <c r="B31" s="242" t="s">
        <v>301</v>
      </c>
      <c r="C31" s="6">
        <f>+C27+1</f>
        <v>3</v>
      </c>
      <c r="D31" s="243">
        <f>+Daten!P6</f>
        <v>0.40972222222222221</v>
      </c>
      <c r="E31" s="6">
        <f t="shared" si="6"/>
        <v>69</v>
      </c>
      <c r="F31" s="6">
        <v>1</v>
      </c>
      <c r="G31" s="242" t="s">
        <v>140</v>
      </c>
      <c r="H31" s="6">
        <v>4</v>
      </c>
      <c r="I31" s="244" t="str">
        <f t="shared" ca="1" si="0"/>
        <v>Rheinland</v>
      </c>
      <c r="J31" s="7" t="s">
        <v>16</v>
      </c>
      <c r="K31" s="6">
        <v>5</v>
      </c>
      <c r="L31" s="244" t="str">
        <f t="shared" ca="1" si="1"/>
        <v>Pfalz</v>
      </c>
      <c r="M31" s="242" t="s">
        <v>140</v>
      </c>
      <c r="N31" s="11">
        <v>14</v>
      </c>
      <c r="O31" s="244" t="str">
        <f t="shared" ca="1" si="2"/>
        <v>Berlin</v>
      </c>
      <c r="P31" s="252" t="s">
        <v>346</v>
      </c>
      <c r="Q31" s="253">
        <v>37</v>
      </c>
      <c r="R31" s="254" t="s">
        <v>15</v>
      </c>
      <c r="S31" s="255">
        <v>31</v>
      </c>
      <c r="T31" s="223">
        <f t="shared" si="3"/>
        <v>2</v>
      </c>
      <c r="U31" s="7" t="s">
        <v>15</v>
      </c>
      <c r="V31" s="8">
        <f t="shared" si="4"/>
        <v>0</v>
      </c>
      <c r="W31" s="58"/>
      <c r="X31" s="7" t="s">
        <v>37</v>
      </c>
      <c r="Y31" s="7" t="s">
        <v>37</v>
      </c>
      <c r="Z31" s="245" t="s">
        <v>49</v>
      </c>
      <c r="AA31" s="14" t="s">
        <v>235</v>
      </c>
      <c r="AB31" s="60"/>
      <c r="AC31" s="14" t="str">
        <f t="shared" si="5"/>
        <v>Pl 7-9</v>
      </c>
    </row>
    <row r="32" spans="1:29">
      <c r="B32" s="242" t="s">
        <v>306</v>
      </c>
      <c r="C32" s="265">
        <v>3</v>
      </c>
      <c r="D32" s="6"/>
      <c r="E32" s="6">
        <f t="shared" si="6"/>
        <v>70</v>
      </c>
      <c r="F32" s="6">
        <v>2</v>
      </c>
      <c r="G32" s="251" t="s">
        <v>139</v>
      </c>
      <c r="H32" s="6">
        <v>4</v>
      </c>
      <c r="I32" s="244" t="str">
        <f t="shared" ca="1" si="0"/>
        <v>Westfalen</v>
      </c>
      <c r="J32" s="7" t="s">
        <v>16</v>
      </c>
      <c r="K32" s="6">
        <v>5</v>
      </c>
      <c r="L32" s="244" t="str">
        <f t="shared" ca="1" si="1"/>
        <v>Pfalz</v>
      </c>
      <c r="M32" s="251" t="s">
        <v>139</v>
      </c>
      <c r="N32" s="11">
        <v>14</v>
      </c>
      <c r="O32" s="244" t="str">
        <f t="shared" ca="1" si="2"/>
        <v>Berlin</v>
      </c>
      <c r="P32" s="252" t="s">
        <v>391</v>
      </c>
      <c r="Q32" s="253">
        <v>31</v>
      </c>
      <c r="R32" s="254" t="s">
        <v>15</v>
      </c>
      <c r="S32" s="255">
        <v>28</v>
      </c>
      <c r="T32" s="223">
        <f t="shared" si="3"/>
        <v>2</v>
      </c>
      <c r="U32" s="7" t="s">
        <v>15</v>
      </c>
      <c r="V32" s="8">
        <f t="shared" si="4"/>
        <v>0</v>
      </c>
      <c r="W32" s="58"/>
      <c r="X32" s="7" t="s">
        <v>37</v>
      </c>
      <c r="Y32" s="7" t="s">
        <v>37</v>
      </c>
      <c r="Z32" s="245" t="s">
        <v>49</v>
      </c>
      <c r="AA32" s="14" t="s">
        <v>235</v>
      </c>
      <c r="AB32" s="60"/>
      <c r="AC32" s="14" t="str">
        <f t="shared" si="5"/>
        <v>Pl 7-9</v>
      </c>
    </row>
    <row r="33" spans="1:29">
      <c r="B33" s="242" t="s">
        <v>237</v>
      </c>
      <c r="C33" s="265">
        <v>3</v>
      </c>
      <c r="D33" s="6"/>
      <c r="E33" s="6">
        <f>+E32+1</f>
        <v>71</v>
      </c>
      <c r="F33" s="6">
        <v>3</v>
      </c>
      <c r="G33" s="251" t="s">
        <v>178</v>
      </c>
      <c r="H33" s="6">
        <v>4</v>
      </c>
      <c r="I33" s="244" t="str">
        <f t="shared" ca="1" si="0"/>
        <v>Niedersachsen</v>
      </c>
      <c r="J33" s="7" t="s">
        <v>16</v>
      </c>
      <c r="K33" s="6">
        <v>5</v>
      </c>
      <c r="L33" s="244" t="str">
        <f t="shared" ca="1" si="1"/>
        <v>Berlin</v>
      </c>
      <c r="M33" s="251" t="s">
        <v>178</v>
      </c>
      <c r="N33" s="11">
        <v>14</v>
      </c>
      <c r="O33" s="244" t="str">
        <f t="shared" ca="1" si="2"/>
        <v>Rheinland</v>
      </c>
      <c r="P33" s="269" t="s">
        <v>387</v>
      </c>
      <c r="Q33" s="253">
        <v>38</v>
      </c>
      <c r="R33" s="254" t="s">
        <v>15</v>
      </c>
      <c r="S33" s="255">
        <v>24</v>
      </c>
      <c r="T33" s="223">
        <f t="shared" si="3"/>
        <v>2</v>
      </c>
      <c r="U33" s="7" t="s">
        <v>15</v>
      </c>
      <c r="V33" s="8">
        <f t="shared" si="4"/>
        <v>0</v>
      </c>
      <c r="W33" s="14"/>
      <c r="X33" s="7" t="s">
        <v>37</v>
      </c>
      <c r="Y33" s="7" t="s">
        <v>37</v>
      </c>
      <c r="Z33" s="7" t="s">
        <v>50</v>
      </c>
      <c r="AA33" s="14" t="s">
        <v>235</v>
      </c>
      <c r="AB33" s="60"/>
      <c r="AC33" s="14" t="str">
        <f t="shared" si="5"/>
        <v>Pl 7-9</v>
      </c>
    </row>
    <row r="34" spans="1:29">
      <c r="B34" s="242" t="s">
        <v>277</v>
      </c>
      <c r="C34" s="256">
        <v>3</v>
      </c>
      <c r="D34" s="228"/>
      <c r="E34" s="228">
        <f>+E33+1</f>
        <v>72</v>
      </c>
      <c r="F34" s="228">
        <v>4</v>
      </c>
      <c r="G34" s="257" t="s">
        <v>179</v>
      </c>
      <c r="H34" s="228">
        <v>14</v>
      </c>
      <c r="I34" s="258" t="str">
        <f t="shared" ca="1" si="0"/>
        <v>Schwaben</v>
      </c>
      <c r="J34" s="5" t="s">
        <v>16</v>
      </c>
      <c r="K34" s="228">
        <v>4</v>
      </c>
      <c r="L34" s="258" t="str">
        <f t="shared" ca="1" si="1"/>
        <v>Baden</v>
      </c>
      <c r="M34" s="257" t="s">
        <v>179</v>
      </c>
      <c r="N34" s="273">
        <v>13</v>
      </c>
      <c r="O34" s="258" t="str">
        <f t="shared" ca="1" si="2"/>
        <v>Pfalz</v>
      </c>
      <c r="P34" s="267" t="s">
        <v>394</v>
      </c>
      <c r="Q34" s="260">
        <v>23</v>
      </c>
      <c r="R34" s="261" t="s">
        <v>15</v>
      </c>
      <c r="S34" s="262">
        <v>35</v>
      </c>
      <c r="T34" s="263">
        <f t="shared" si="3"/>
        <v>0</v>
      </c>
      <c r="U34" s="5" t="s">
        <v>15</v>
      </c>
      <c r="V34" s="264">
        <f t="shared" si="4"/>
        <v>2</v>
      </c>
      <c r="W34" s="14"/>
      <c r="X34" s="5" t="s">
        <v>37</v>
      </c>
      <c r="Y34" s="5" t="s">
        <v>37</v>
      </c>
      <c r="Z34" s="7" t="s">
        <v>50</v>
      </c>
      <c r="AA34" s="60" t="s">
        <v>278</v>
      </c>
      <c r="AB34" s="60"/>
      <c r="AC34" s="14" t="str">
        <f t="shared" si="5"/>
        <v>Pl 7-8</v>
      </c>
    </row>
    <row r="35" spans="1:29" ht="12.75" customHeight="1">
      <c r="B35" s="242" t="s">
        <v>279</v>
      </c>
      <c r="C35" s="6">
        <f>+C31+1</f>
        <v>4</v>
      </c>
      <c r="D35" s="271">
        <f>+Daten!P7</f>
        <v>0.42708333333333331</v>
      </c>
      <c r="E35" s="6">
        <f>+E34+1</f>
        <v>73</v>
      </c>
      <c r="F35" s="6">
        <v>1</v>
      </c>
      <c r="G35" s="251" t="s">
        <v>179</v>
      </c>
      <c r="H35" s="6">
        <v>2</v>
      </c>
      <c r="I35" s="244" t="str">
        <f t="shared" ca="1" si="0"/>
        <v>Rheinland</v>
      </c>
      <c r="J35" s="7" t="s">
        <v>16</v>
      </c>
      <c r="K35" s="6">
        <v>13</v>
      </c>
      <c r="L35" s="244" t="str">
        <f t="shared" ca="1" si="1"/>
        <v>Pfalz</v>
      </c>
      <c r="M35" s="251" t="s">
        <v>179</v>
      </c>
      <c r="N35" s="11">
        <v>1</v>
      </c>
      <c r="O35" s="244" t="str">
        <f t="shared" ca="1" si="2"/>
        <v>Bremen</v>
      </c>
      <c r="P35" s="269" t="s">
        <v>398</v>
      </c>
      <c r="Q35" s="253">
        <v>41</v>
      </c>
      <c r="R35" s="254" t="s">
        <v>15</v>
      </c>
      <c r="S35" s="255">
        <v>27</v>
      </c>
      <c r="T35" s="223">
        <f t="shared" si="3"/>
        <v>2</v>
      </c>
      <c r="U35" s="7" t="s">
        <v>15</v>
      </c>
      <c r="V35" s="8">
        <f t="shared" si="4"/>
        <v>0</v>
      </c>
      <c r="X35" s="7" t="s">
        <v>37</v>
      </c>
      <c r="Y35" s="7" t="s">
        <v>37</v>
      </c>
      <c r="Z35" s="7" t="s">
        <v>51</v>
      </c>
      <c r="AA35" s="60" t="s">
        <v>145</v>
      </c>
      <c r="AB35" s="60"/>
      <c r="AC35" s="14" t="str">
        <f t="shared" si="5"/>
        <v>Vo uz</v>
      </c>
    </row>
    <row r="36" spans="1:29">
      <c r="B36" s="242" t="s">
        <v>280</v>
      </c>
      <c r="C36" s="265">
        <v>4</v>
      </c>
      <c r="D36" s="6"/>
      <c r="E36" s="6">
        <f t="shared" si="6"/>
        <v>74</v>
      </c>
      <c r="F36" s="6">
        <v>2</v>
      </c>
      <c r="G36" s="251" t="s">
        <v>179</v>
      </c>
      <c r="H36" s="6">
        <v>12</v>
      </c>
      <c r="I36" s="244" t="str">
        <f t="shared" ca="1" si="0"/>
        <v>Westfalen</v>
      </c>
      <c r="J36" s="7" t="s">
        <v>16</v>
      </c>
      <c r="K36" s="6">
        <v>3</v>
      </c>
      <c r="L36" s="244" t="str">
        <f t="shared" ca="1" si="1"/>
        <v>Berlin</v>
      </c>
      <c r="M36" s="251" t="s">
        <v>179</v>
      </c>
      <c r="N36" s="11">
        <v>11</v>
      </c>
      <c r="O36" s="244" t="str">
        <f t="shared" ca="1" si="2"/>
        <v>Niedersachsen</v>
      </c>
      <c r="P36" s="269" t="s">
        <v>395</v>
      </c>
      <c r="Q36" s="253">
        <v>26</v>
      </c>
      <c r="R36" s="254" t="s">
        <v>15</v>
      </c>
      <c r="S36" s="255">
        <v>30</v>
      </c>
      <c r="T36" s="223">
        <f t="shared" si="3"/>
        <v>0</v>
      </c>
      <c r="U36" s="7" t="s">
        <v>15</v>
      </c>
      <c r="V36" s="8">
        <f t="shared" si="4"/>
        <v>2</v>
      </c>
      <c r="X36" s="245" t="s">
        <v>37</v>
      </c>
      <c r="Y36" s="245" t="s">
        <v>37</v>
      </c>
      <c r="Z36" s="7" t="s">
        <v>51</v>
      </c>
      <c r="AA36" s="60" t="s">
        <v>145</v>
      </c>
      <c r="AB36" s="60"/>
      <c r="AC36" s="14" t="str">
        <f t="shared" si="5"/>
        <v>Vo uz</v>
      </c>
    </row>
    <row r="37" spans="1:29">
      <c r="B37" s="242" t="s">
        <v>185</v>
      </c>
      <c r="C37" s="265">
        <v>4</v>
      </c>
      <c r="D37" s="6"/>
      <c r="E37" s="6">
        <f t="shared" si="6"/>
        <v>75</v>
      </c>
      <c r="F37" s="6">
        <v>3</v>
      </c>
      <c r="G37" s="251" t="s">
        <v>178</v>
      </c>
      <c r="H37" s="6">
        <v>2</v>
      </c>
      <c r="I37" s="268" t="str">
        <f t="shared" ca="1" si="0"/>
        <v>Baden</v>
      </c>
      <c r="J37" s="7" t="s">
        <v>16</v>
      </c>
      <c r="K37" s="6">
        <v>13</v>
      </c>
      <c r="L37" s="244" t="str">
        <f ca="1">INDIRECT(ADDRESS(MATCH(K37,$A$1:$A$20,0),MATCH(G37,$A$4:$AF$4,0)))</f>
        <v>Sachsen</v>
      </c>
      <c r="M37" s="251" t="s">
        <v>178</v>
      </c>
      <c r="N37" s="11">
        <v>1</v>
      </c>
      <c r="O37" s="244" t="str">
        <f t="shared" ca="1" si="2"/>
        <v>Westfalen</v>
      </c>
      <c r="P37" s="269" t="s">
        <v>387</v>
      </c>
      <c r="Q37" s="253">
        <v>40</v>
      </c>
      <c r="R37" s="254" t="s">
        <v>15</v>
      </c>
      <c r="S37" s="255">
        <v>29</v>
      </c>
      <c r="T37" s="223">
        <f t="shared" si="3"/>
        <v>2</v>
      </c>
      <c r="U37" s="7" t="s">
        <v>15</v>
      </c>
      <c r="V37" s="8">
        <f t="shared" si="4"/>
        <v>0</v>
      </c>
      <c r="X37" s="245" t="s">
        <v>37</v>
      </c>
      <c r="Y37" s="245" t="s">
        <v>37</v>
      </c>
      <c r="Z37" s="7" t="s">
        <v>52</v>
      </c>
      <c r="AA37" s="60" t="s">
        <v>145</v>
      </c>
      <c r="AB37" s="60"/>
      <c r="AC37" s="14" t="str">
        <f t="shared" si="5"/>
        <v>Vo uz</v>
      </c>
    </row>
    <row r="38" spans="1:29">
      <c r="B38" s="242" t="s">
        <v>186</v>
      </c>
      <c r="C38" s="256">
        <v>4</v>
      </c>
      <c r="D38" s="228"/>
      <c r="E38" s="228">
        <f t="shared" si="6"/>
        <v>76</v>
      </c>
      <c r="F38" s="228">
        <v>4</v>
      </c>
      <c r="G38" s="257" t="s">
        <v>178</v>
      </c>
      <c r="H38" s="228">
        <v>12</v>
      </c>
      <c r="I38" s="266" t="str">
        <f t="shared" ca="1" si="0"/>
        <v>Bremen</v>
      </c>
      <c r="J38" s="5" t="s">
        <v>16</v>
      </c>
      <c r="K38" s="228">
        <v>3</v>
      </c>
      <c r="L38" s="258" t="str">
        <f t="shared" ca="1" si="1"/>
        <v>Pfalz</v>
      </c>
      <c r="M38" s="257" t="s">
        <v>178</v>
      </c>
      <c r="N38" s="273">
        <v>11</v>
      </c>
      <c r="O38" s="258" t="str">
        <f t="shared" ca="1" si="2"/>
        <v>Schwaben</v>
      </c>
      <c r="P38" s="267" t="s">
        <v>397</v>
      </c>
      <c r="Q38" s="260">
        <v>30</v>
      </c>
      <c r="R38" s="261" t="s">
        <v>15</v>
      </c>
      <c r="S38" s="262">
        <v>37</v>
      </c>
      <c r="T38" s="263">
        <f t="shared" si="3"/>
        <v>0</v>
      </c>
      <c r="U38" s="5" t="s">
        <v>15</v>
      </c>
      <c r="V38" s="264">
        <f t="shared" si="4"/>
        <v>2</v>
      </c>
      <c r="W38" s="58"/>
      <c r="X38" s="5" t="s">
        <v>37</v>
      </c>
      <c r="Y38" s="5" t="s">
        <v>37</v>
      </c>
      <c r="Z38" s="7" t="s">
        <v>52</v>
      </c>
      <c r="AA38" s="60" t="s">
        <v>145</v>
      </c>
      <c r="AB38" s="60"/>
      <c r="AC38" s="14" t="str">
        <f t="shared" si="5"/>
        <v>Vo uz</v>
      </c>
    </row>
    <row r="39" spans="1:29">
      <c r="A39" s="47"/>
      <c r="B39" s="242" t="s">
        <v>307</v>
      </c>
      <c r="C39" s="6">
        <f>+C35+1</f>
        <v>5</v>
      </c>
      <c r="D39" s="271">
        <f>+Daten!P8</f>
        <v>0.44444444444444442</v>
      </c>
      <c r="E39" s="6">
        <f>+E38+1</f>
        <v>77</v>
      </c>
      <c r="F39" s="6">
        <v>1</v>
      </c>
      <c r="G39" s="251" t="s">
        <v>140</v>
      </c>
      <c r="H39" s="6">
        <v>4</v>
      </c>
      <c r="I39" s="244" t="str">
        <f t="shared" ca="1" si="0"/>
        <v>Rheinland</v>
      </c>
      <c r="J39" s="270" t="s">
        <v>16</v>
      </c>
      <c r="K39" s="11">
        <v>14</v>
      </c>
      <c r="L39" s="244" t="str">
        <f t="shared" ref="L39:L40" ca="1" si="7">INDIRECT(ADDRESS(MATCH(K39,$A$1:$A$20,0),MATCH(G39,$A$4:$AF$4,0)))</f>
        <v>Berlin</v>
      </c>
      <c r="M39" s="251" t="s">
        <v>140</v>
      </c>
      <c r="N39" s="11">
        <v>5</v>
      </c>
      <c r="O39" s="244" t="str">
        <f t="shared" ca="1" si="2"/>
        <v>Pfalz</v>
      </c>
      <c r="P39" s="269" t="s">
        <v>336</v>
      </c>
      <c r="Q39" s="253">
        <v>43</v>
      </c>
      <c r="R39" s="254" t="s">
        <v>15</v>
      </c>
      <c r="S39" s="255">
        <v>22</v>
      </c>
      <c r="T39" s="223">
        <f>IF(Q39="","",IF(Q39&gt;S39,2,IF(Q39&lt;S39,0,1)))</f>
        <v>2</v>
      </c>
      <c r="U39" s="7" t="s">
        <v>15</v>
      </c>
      <c r="V39" s="8">
        <f>IF(S39="","",IF(S39&gt;Q39,2,IF(S39&lt;Q39,0,1)))</f>
        <v>0</v>
      </c>
      <c r="W39" s="6"/>
      <c r="X39" s="7" t="s">
        <v>37</v>
      </c>
      <c r="Y39" s="7" t="s">
        <v>37</v>
      </c>
      <c r="Z39" s="7" t="s">
        <v>53</v>
      </c>
      <c r="AA39" s="14" t="s">
        <v>235</v>
      </c>
      <c r="AB39" s="60"/>
      <c r="AC39" s="14" t="str">
        <f t="shared" si="5"/>
        <v>Pl 7-9</v>
      </c>
    </row>
    <row r="40" spans="1:29">
      <c r="A40" s="47"/>
      <c r="B40" s="242" t="s">
        <v>308</v>
      </c>
      <c r="C40" s="265">
        <v>5</v>
      </c>
      <c r="D40" s="6"/>
      <c r="E40" s="6">
        <f t="shared" si="6"/>
        <v>78</v>
      </c>
      <c r="F40" s="6">
        <v>2</v>
      </c>
      <c r="G40" s="251" t="s">
        <v>139</v>
      </c>
      <c r="H40" s="6">
        <v>4</v>
      </c>
      <c r="I40" s="244" t="str">
        <f t="shared" ca="1" si="0"/>
        <v>Westfalen</v>
      </c>
      <c r="J40" s="270" t="s">
        <v>16</v>
      </c>
      <c r="K40" s="11">
        <v>14</v>
      </c>
      <c r="L40" s="244" t="str">
        <f t="shared" ca="1" si="7"/>
        <v>Berlin</v>
      </c>
      <c r="M40" s="251" t="s">
        <v>139</v>
      </c>
      <c r="N40" s="11">
        <v>5</v>
      </c>
      <c r="O40" s="244" t="str">
        <f t="shared" ca="1" si="2"/>
        <v>Pfalz</v>
      </c>
      <c r="P40" s="269" t="s">
        <v>380</v>
      </c>
      <c r="Q40" s="253">
        <v>28</v>
      </c>
      <c r="R40" s="254" t="s">
        <v>15</v>
      </c>
      <c r="S40" s="255">
        <v>26</v>
      </c>
      <c r="T40" s="223">
        <f>IF(Q40="","",IF(Q40&gt;S40,2,IF(Q40&lt;S40,0,1)))</f>
        <v>2</v>
      </c>
      <c r="U40" s="7" t="s">
        <v>15</v>
      </c>
      <c r="V40" s="8">
        <f>IF(S40="","",IF(S40&gt;Q40,2,IF(S40&lt;Q40,0,1)))</f>
        <v>0</v>
      </c>
      <c r="W40" s="6"/>
      <c r="X40" s="7" t="s">
        <v>37</v>
      </c>
      <c r="Y40" s="7" t="s">
        <v>37</v>
      </c>
      <c r="Z40" s="7" t="s">
        <v>53</v>
      </c>
      <c r="AA40" s="14" t="s">
        <v>235</v>
      </c>
      <c r="AB40" s="60"/>
      <c r="AC40" s="14" t="str">
        <f t="shared" si="5"/>
        <v>Pl 7-9</v>
      </c>
    </row>
    <row r="41" spans="1:29">
      <c r="A41" s="47"/>
      <c r="B41" s="242" t="s">
        <v>281</v>
      </c>
      <c r="C41" s="256">
        <v>5</v>
      </c>
      <c r="D41" s="274"/>
      <c r="E41" s="228">
        <f t="shared" si="6"/>
        <v>79</v>
      </c>
      <c r="F41" s="228">
        <v>3</v>
      </c>
      <c r="G41" s="257" t="s">
        <v>178</v>
      </c>
      <c r="H41" s="228">
        <v>4</v>
      </c>
      <c r="I41" s="266" t="str">
        <f t="shared" ca="1" si="0"/>
        <v>Niedersachsen</v>
      </c>
      <c r="J41" s="272" t="s">
        <v>16</v>
      </c>
      <c r="K41" s="266">
        <v>14</v>
      </c>
      <c r="L41" s="258" t="str">
        <f ca="1">INDIRECT(ADDRESS(MATCH(K41,$A$1:$A$20,0),MATCH(G41,$A$4:$AF$4,0)))</f>
        <v>Rheinland</v>
      </c>
      <c r="M41" s="257" t="s">
        <v>178</v>
      </c>
      <c r="N41" s="273">
        <v>5</v>
      </c>
      <c r="O41" s="258" t="str">
        <f ca="1">INDIRECT(ADDRESS(MATCH(N41,$A$1:$A$20,0),MATCH(M41,$A$4:$AF$4,0)))</f>
        <v>Berlin</v>
      </c>
      <c r="P41" s="267" t="s">
        <v>399</v>
      </c>
      <c r="Q41" s="260">
        <v>44</v>
      </c>
      <c r="R41" s="261" t="s">
        <v>15</v>
      </c>
      <c r="S41" s="262">
        <v>17</v>
      </c>
      <c r="T41" s="263">
        <f t="shared" si="3"/>
        <v>2</v>
      </c>
      <c r="U41" s="5" t="s">
        <v>15</v>
      </c>
      <c r="V41" s="264">
        <f t="shared" si="4"/>
        <v>0</v>
      </c>
      <c r="W41" s="58"/>
      <c r="X41" s="5" t="s">
        <v>37</v>
      </c>
      <c r="Y41" s="5" t="s">
        <v>37</v>
      </c>
      <c r="Z41" s="7" t="s">
        <v>54</v>
      </c>
      <c r="AA41" s="14" t="s">
        <v>235</v>
      </c>
      <c r="AB41" s="60"/>
      <c r="AC41" s="14" t="str">
        <f t="shared" si="5"/>
        <v>Pl 7-9</v>
      </c>
    </row>
    <row r="42" spans="1:29" hidden="1" outlineLevel="1">
      <c r="A42" s="47"/>
      <c r="B42" s="242"/>
      <c r="C42" s="256">
        <v>5</v>
      </c>
      <c r="D42" s="228"/>
      <c r="E42" s="228">
        <f t="shared" si="6"/>
        <v>80</v>
      </c>
      <c r="F42" s="228">
        <v>4</v>
      </c>
      <c r="G42" s="257"/>
      <c r="H42" s="228">
        <v>4</v>
      </c>
      <c r="I42" s="266" t="e">
        <f t="shared" ca="1" si="0"/>
        <v>#N/A</v>
      </c>
      <c r="J42" s="272" t="s">
        <v>16</v>
      </c>
      <c r="K42" s="228">
        <v>14</v>
      </c>
      <c r="L42" s="258" t="e">
        <f ca="1">INDIRECT(ADDRESS(MATCH(K42,$A$1:$A$20,0),MATCH(G42,$A$4:$AF$4,0)))</f>
        <v>#N/A</v>
      </c>
      <c r="M42" s="257"/>
      <c r="N42" s="273"/>
      <c r="O42" s="266" t="str">
        <f ca="1">IF($T23="","Sieger "&amp;$E23,IF($T23=2,$I23,$L23))</f>
        <v>Pfalz</v>
      </c>
      <c r="P42" s="267"/>
      <c r="Q42" s="260"/>
      <c r="R42" s="261" t="s">
        <v>15</v>
      </c>
      <c r="S42" s="262"/>
      <c r="T42" s="263" t="str">
        <f t="shared" si="3"/>
        <v/>
      </c>
      <c r="U42" s="5" t="s">
        <v>15</v>
      </c>
      <c r="V42" s="264" t="str">
        <f t="shared" si="4"/>
        <v/>
      </c>
      <c r="W42" s="58"/>
      <c r="X42" s="5" t="s">
        <v>37</v>
      </c>
      <c r="Y42" s="5" t="s">
        <v>37</v>
      </c>
      <c r="Z42" s="7" t="s">
        <v>54</v>
      </c>
      <c r="AA42" s="60"/>
      <c r="AB42" s="60"/>
    </row>
    <row r="43" spans="1:29" collapsed="1">
      <c r="B43" s="242" t="s">
        <v>146</v>
      </c>
      <c r="C43" s="6">
        <f>+C39+1</f>
        <v>6</v>
      </c>
      <c r="D43" s="271">
        <f>+Daten!P9</f>
        <v>0.46180555555555552</v>
      </c>
      <c r="E43" s="6">
        <f>+E41+1</f>
        <v>80</v>
      </c>
      <c r="F43" s="6">
        <v>1</v>
      </c>
      <c r="G43" s="251" t="s">
        <v>140</v>
      </c>
      <c r="H43" s="6">
        <v>1</v>
      </c>
      <c r="I43" s="268" t="str">
        <f ca="1">INDIRECT(ADDRESS(MATCH(H43,$A$1:$A$20,0),MATCH(G43,$A$4:$AF$4,0)))</f>
        <v>Westfalen</v>
      </c>
      <c r="J43" s="270" t="s">
        <v>16</v>
      </c>
      <c r="K43" s="11"/>
      <c r="L43" s="244" t="str">
        <f ca="1">IF($T28="","Sieger "&amp;$E28,IF($T28=2,$I28,$L28))</f>
        <v>Schwaben</v>
      </c>
      <c r="M43" s="251" t="s">
        <v>140</v>
      </c>
      <c r="N43" s="11"/>
      <c r="O43" s="268" t="str">
        <f ca="1">IF($T28="","Verlierer "&amp;$E28,IF($T28=0,$I28,$L28))</f>
        <v>Baden</v>
      </c>
      <c r="P43" s="269" t="s">
        <v>351</v>
      </c>
      <c r="Q43" s="253">
        <v>34</v>
      </c>
      <c r="R43" s="254" t="s">
        <v>15</v>
      </c>
      <c r="S43" s="255">
        <v>27</v>
      </c>
      <c r="T43" s="223">
        <f>IF(Q43="","",IF(Q43&gt;S43,2,IF(Q43&lt;S43,0,1)))</f>
        <v>2</v>
      </c>
      <c r="U43" s="7" t="s">
        <v>15</v>
      </c>
      <c r="V43" s="8">
        <f>IF(S43="","",IF(S43&gt;Q43,2,IF(S43&lt;Q43,0,1)))</f>
        <v>0</v>
      </c>
      <c r="W43" s="58"/>
      <c r="X43" s="7" t="s">
        <v>37</v>
      </c>
      <c r="Y43" s="7" t="s">
        <v>37</v>
      </c>
      <c r="Z43" s="7" t="s">
        <v>55</v>
      </c>
      <c r="AA43" s="60" t="s">
        <v>119</v>
      </c>
      <c r="AB43" s="60"/>
      <c r="AC43" s="14" t="str">
        <f t="shared" ref="AC43:AC62" si="8">MID(AA43,1,2)&amp;" "&amp;MID(AA43,7,3)</f>
        <v xml:space="preserve">Kr </v>
      </c>
    </row>
    <row r="44" spans="1:29">
      <c r="B44" s="242" t="s">
        <v>147</v>
      </c>
      <c r="C44" s="265">
        <v>6</v>
      </c>
      <c r="D44" s="6"/>
      <c r="E44" s="6">
        <f>+E43+1</f>
        <v>81</v>
      </c>
      <c r="F44" s="6">
        <v>2</v>
      </c>
      <c r="G44" s="251" t="s">
        <v>140</v>
      </c>
      <c r="H44" s="6">
        <v>11</v>
      </c>
      <c r="I44" s="268" t="str">
        <f ca="1">INDIRECT(ADDRESS(MATCH(H44,$A$1:$A$20,0),MATCH(G44,$A$4:$AF$4,0)))</f>
        <v>Bremen</v>
      </c>
      <c r="J44" s="270" t="s">
        <v>16</v>
      </c>
      <c r="K44" s="11"/>
      <c r="L44" s="244" t="str">
        <f ca="1">IF($T27="","Sieger "&amp;$E27,IF($T27=2,$I27,$L27))</f>
        <v>Niedersachsen</v>
      </c>
      <c r="M44" s="251" t="s">
        <v>140</v>
      </c>
      <c r="N44" s="11"/>
      <c r="O44" s="268" t="str">
        <f ca="1">IF($T27="","Verlierer "&amp;$E27,IF($T27=0,$I27,$L27))</f>
        <v>Hessen</v>
      </c>
      <c r="P44" s="269" t="s">
        <v>333</v>
      </c>
      <c r="Q44" s="253">
        <v>40</v>
      </c>
      <c r="R44" s="254" t="s">
        <v>15</v>
      </c>
      <c r="S44" s="255">
        <v>30</v>
      </c>
      <c r="T44" s="223">
        <f t="shared" si="3"/>
        <v>2</v>
      </c>
      <c r="U44" s="7" t="s">
        <v>15</v>
      </c>
      <c r="V44" s="8">
        <f t="shared" si="4"/>
        <v>0</v>
      </c>
      <c r="W44" s="58"/>
      <c r="X44" s="7" t="s">
        <v>37</v>
      </c>
      <c r="Y44" s="7" t="s">
        <v>37</v>
      </c>
      <c r="Z44" s="7" t="s">
        <v>55</v>
      </c>
      <c r="AA44" s="60" t="s">
        <v>119</v>
      </c>
      <c r="AB44" s="60"/>
      <c r="AC44" s="14" t="str">
        <f t="shared" si="8"/>
        <v xml:space="preserve">Kr </v>
      </c>
    </row>
    <row r="45" spans="1:29">
      <c r="B45" s="242" t="s">
        <v>148</v>
      </c>
      <c r="C45" s="265">
        <v>6</v>
      </c>
      <c r="D45" s="271"/>
      <c r="E45" s="6">
        <f t="shared" si="6"/>
        <v>82</v>
      </c>
      <c r="F45" s="6">
        <v>3</v>
      </c>
      <c r="G45" s="251" t="s">
        <v>139</v>
      </c>
      <c r="H45" s="6">
        <v>1</v>
      </c>
      <c r="I45" s="268" t="str">
        <f ca="1">INDIRECT(ADDRESS(MATCH(H45,$A$1:$A$20,0),MATCH(G45,$A$4:$AF$4,0)))</f>
        <v>Niedersachsen</v>
      </c>
      <c r="J45" s="7" t="s">
        <v>16</v>
      </c>
      <c r="K45" s="6"/>
      <c r="L45" s="244" t="str">
        <f ca="1">IF($T30="","Sieger "&amp;$E30,IF($T30=2,$I30,$L30))</f>
        <v>Bremen</v>
      </c>
      <c r="M45" s="251" t="s">
        <v>139</v>
      </c>
      <c r="N45" s="11"/>
      <c r="O45" s="268" t="str">
        <f ca="1">IF($T30="","Verlierer "&amp;$E30,IF($T30=0,$I30,$L30))</f>
        <v>Schwaben</v>
      </c>
      <c r="P45" s="269" t="s">
        <v>400</v>
      </c>
      <c r="Q45" s="253">
        <v>36</v>
      </c>
      <c r="R45" s="254" t="s">
        <v>15</v>
      </c>
      <c r="S45" s="255">
        <v>25</v>
      </c>
      <c r="T45" s="223">
        <f>IF(Q45="","",IF(Q45&gt;S45,2,IF(Q45&lt;S45,0,1)))</f>
        <v>2</v>
      </c>
      <c r="U45" s="7" t="s">
        <v>15</v>
      </c>
      <c r="V45" s="8">
        <f>IF(S45="","",IF(S45&gt;Q45,2,IF(S45&lt;Q45,0,1)))</f>
        <v>0</v>
      </c>
      <c r="W45" s="6"/>
      <c r="X45" s="7" t="s">
        <v>37</v>
      </c>
      <c r="Y45" s="7" t="s">
        <v>37</v>
      </c>
      <c r="Z45" s="7" t="s">
        <v>56</v>
      </c>
      <c r="AA45" s="60" t="s">
        <v>119</v>
      </c>
      <c r="AB45" s="60"/>
      <c r="AC45" s="14" t="str">
        <f t="shared" si="8"/>
        <v xml:space="preserve">Kr </v>
      </c>
    </row>
    <row r="46" spans="1:29">
      <c r="B46" s="242" t="s">
        <v>149</v>
      </c>
      <c r="C46" s="256">
        <v>6</v>
      </c>
      <c r="D46" s="228"/>
      <c r="E46" s="228">
        <f t="shared" si="6"/>
        <v>83</v>
      </c>
      <c r="F46" s="228">
        <v>4</v>
      </c>
      <c r="G46" s="257" t="s">
        <v>139</v>
      </c>
      <c r="H46" s="228">
        <v>11</v>
      </c>
      <c r="I46" s="266" t="str">
        <f ca="1">INDIRECT(ADDRESS(MATCH(H46,$A$1:$A$20,0),MATCH(G46,$A$4:$AF$4,0)))</f>
        <v>Sachsen</v>
      </c>
      <c r="J46" s="5" t="s">
        <v>16</v>
      </c>
      <c r="K46" s="228"/>
      <c r="L46" s="258" t="str">
        <f ca="1">IF($T29="","Sieger "&amp;$E29,IF($T29=2,$I29,$L29))</f>
        <v>Baden</v>
      </c>
      <c r="M46" s="257" t="s">
        <v>139</v>
      </c>
      <c r="N46" s="273"/>
      <c r="O46" s="266" t="str">
        <f ca="1">IF($T29="","Verlierer "&amp;$E29,IF($T29=0,$I29,$L29))</f>
        <v>Rheinland</v>
      </c>
      <c r="P46" s="267" t="s">
        <v>401</v>
      </c>
      <c r="Q46" s="260">
        <v>28</v>
      </c>
      <c r="R46" s="261" t="s">
        <v>15</v>
      </c>
      <c r="S46" s="262">
        <v>36</v>
      </c>
      <c r="T46" s="263">
        <f>IF(Q46="","",IF(Q46&gt;S46,2,IF(Q46&lt;S46,0,1)))</f>
        <v>0</v>
      </c>
      <c r="U46" s="5" t="s">
        <v>15</v>
      </c>
      <c r="V46" s="264">
        <f>IF(S46="","",IF(S46&gt;Q46,2,IF(S46&lt;Q46,0,1)))</f>
        <v>2</v>
      </c>
      <c r="W46" s="6"/>
      <c r="X46" s="5" t="s">
        <v>37</v>
      </c>
      <c r="Y46" s="5" t="s">
        <v>37</v>
      </c>
      <c r="Z46" s="7" t="s">
        <v>56</v>
      </c>
      <c r="AA46" s="60" t="s">
        <v>119</v>
      </c>
      <c r="AB46" s="60"/>
      <c r="AC46" s="14" t="str">
        <f t="shared" si="8"/>
        <v xml:space="preserve">Kr </v>
      </c>
    </row>
    <row r="47" spans="1:29">
      <c r="B47" s="242" t="s">
        <v>238</v>
      </c>
      <c r="C47" s="6">
        <v>7</v>
      </c>
      <c r="D47" s="271">
        <f>+Daten!P10</f>
        <v>0.47916666666666663</v>
      </c>
      <c r="E47" s="6">
        <f t="shared" si="6"/>
        <v>84</v>
      </c>
      <c r="F47" s="6">
        <v>1</v>
      </c>
      <c r="G47" s="251" t="s">
        <v>179</v>
      </c>
      <c r="H47" s="6">
        <v>1</v>
      </c>
      <c r="I47" s="244" t="str">
        <f t="shared" ref="I47:I50" ca="1" si="9">INDIRECT(ADDRESS(MATCH(H47,$A$1:$A$20,0),MATCH(G47,$A$4:$AF$4,0)))</f>
        <v>Bremen</v>
      </c>
      <c r="J47" s="7" t="s">
        <v>16</v>
      </c>
      <c r="K47" s="6"/>
      <c r="L47" s="244" t="str">
        <f ca="1">IF($T36="","Sieger "&amp;$E36,IF($T36=2,$I36,$L36))</f>
        <v>Berlin</v>
      </c>
      <c r="M47" s="251" t="s">
        <v>140</v>
      </c>
      <c r="N47" s="11"/>
      <c r="O47" s="268" t="str">
        <f ca="1">IF($T36="","Verlierer "&amp;$E36,IF($T36=0,$I36,$L36))</f>
        <v>Westfalen</v>
      </c>
      <c r="P47" s="269" t="s">
        <v>402</v>
      </c>
      <c r="Q47" s="253">
        <v>37</v>
      </c>
      <c r="R47" s="254" t="s">
        <v>15</v>
      </c>
      <c r="S47" s="255">
        <v>24</v>
      </c>
      <c r="T47" s="223">
        <f t="shared" si="3"/>
        <v>2</v>
      </c>
      <c r="U47" s="7" t="s">
        <v>15</v>
      </c>
      <c r="V47" s="8">
        <f t="shared" si="4"/>
        <v>0</v>
      </c>
      <c r="W47" s="58"/>
      <c r="X47" s="7" t="s">
        <v>37</v>
      </c>
      <c r="Y47" s="7" t="s">
        <v>37</v>
      </c>
      <c r="Z47" s="7" t="s">
        <v>304</v>
      </c>
      <c r="AA47" s="60" t="s">
        <v>119</v>
      </c>
      <c r="AB47" s="60"/>
      <c r="AC47" s="14" t="str">
        <f t="shared" si="8"/>
        <v xml:space="preserve">Kr </v>
      </c>
    </row>
    <row r="48" spans="1:29">
      <c r="B48" s="242" t="s">
        <v>239</v>
      </c>
      <c r="C48" s="265">
        <v>7</v>
      </c>
      <c r="D48" s="6"/>
      <c r="E48" s="6">
        <f t="shared" si="6"/>
        <v>85</v>
      </c>
      <c r="F48" s="6">
        <v>2</v>
      </c>
      <c r="G48" s="251" t="s">
        <v>179</v>
      </c>
      <c r="H48" s="6">
        <v>11</v>
      </c>
      <c r="I48" s="244" t="str">
        <f t="shared" ca="1" si="9"/>
        <v>Niedersachsen</v>
      </c>
      <c r="J48" s="270" t="s">
        <v>16</v>
      </c>
      <c r="K48" s="11"/>
      <c r="L48" s="244" t="str">
        <f ca="1">IF($T35="","Sieger "&amp;$E35,IF($T35=2,$I35,$L35))</f>
        <v>Rheinland</v>
      </c>
      <c r="M48" s="251" t="s">
        <v>139</v>
      </c>
      <c r="N48" s="11"/>
      <c r="O48" s="268" t="str">
        <f ca="1">IF($T35="","Verlierer "&amp;$E35,IF($T35=0,$I35,$L35))</f>
        <v>Pfalz</v>
      </c>
      <c r="P48" s="269" t="s">
        <v>403</v>
      </c>
      <c r="Q48" s="253">
        <v>21</v>
      </c>
      <c r="R48" s="254" t="s">
        <v>15</v>
      </c>
      <c r="S48" s="255">
        <v>29</v>
      </c>
      <c r="T48" s="223">
        <f t="shared" si="3"/>
        <v>0</v>
      </c>
      <c r="U48" s="7" t="s">
        <v>15</v>
      </c>
      <c r="V48" s="8">
        <f t="shared" si="4"/>
        <v>2</v>
      </c>
      <c r="W48" s="58"/>
      <c r="X48" s="7" t="s">
        <v>37</v>
      </c>
      <c r="Y48" s="7" t="s">
        <v>37</v>
      </c>
      <c r="Z48" s="7" t="s">
        <v>304</v>
      </c>
      <c r="AA48" s="60" t="s">
        <v>119</v>
      </c>
      <c r="AB48" s="60"/>
      <c r="AC48" s="14" t="str">
        <f t="shared" si="8"/>
        <v xml:space="preserve">Kr </v>
      </c>
    </row>
    <row r="49" spans="2:29">
      <c r="B49" s="242" t="s">
        <v>187</v>
      </c>
      <c r="C49" s="265">
        <v>7</v>
      </c>
      <c r="D49" s="271"/>
      <c r="E49" s="6">
        <f t="shared" si="6"/>
        <v>86</v>
      </c>
      <c r="F49" s="6">
        <v>3</v>
      </c>
      <c r="G49" s="251" t="s">
        <v>178</v>
      </c>
      <c r="H49" s="6">
        <v>1</v>
      </c>
      <c r="I49" s="244" t="str">
        <f t="shared" ca="1" si="9"/>
        <v>Westfalen</v>
      </c>
      <c r="J49" s="270" t="s">
        <v>16</v>
      </c>
      <c r="K49" s="11"/>
      <c r="L49" s="244" t="str">
        <f ca="1">IF($T38="","Sieger "&amp;$E38,IF($T38=2,$I38,$L38))</f>
        <v>Pfalz</v>
      </c>
      <c r="M49" s="251" t="s">
        <v>179</v>
      </c>
      <c r="N49" s="11"/>
      <c r="O49" s="268" t="str">
        <f ca="1">IF($T38="","Verlierer "&amp;$E38,IF($T38=0,$I38,$L38))</f>
        <v>Bremen</v>
      </c>
      <c r="P49" s="269" t="s">
        <v>400</v>
      </c>
      <c r="Q49" s="253">
        <v>39</v>
      </c>
      <c r="R49" s="254" t="s">
        <v>15</v>
      </c>
      <c r="S49" s="255">
        <v>24</v>
      </c>
      <c r="T49" s="223">
        <f t="shared" si="3"/>
        <v>2</v>
      </c>
      <c r="U49" s="7" t="s">
        <v>15</v>
      </c>
      <c r="V49" s="8">
        <f t="shared" si="4"/>
        <v>0</v>
      </c>
      <c r="W49" s="58"/>
      <c r="X49" s="7" t="s">
        <v>37</v>
      </c>
      <c r="Y49" s="7" t="s">
        <v>37</v>
      </c>
      <c r="Z49" s="7" t="s">
        <v>58</v>
      </c>
      <c r="AA49" s="60" t="s">
        <v>119</v>
      </c>
      <c r="AB49" s="60"/>
      <c r="AC49" s="14" t="str">
        <f t="shared" si="8"/>
        <v xml:space="preserve">Kr </v>
      </c>
    </row>
    <row r="50" spans="2:29">
      <c r="B50" s="242" t="s">
        <v>188</v>
      </c>
      <c r="C50" s="256">
        <v>7</v>
      </c>
      <c r="D50" s="228"/>
      <c r="E50" s="228">
        <f>+E49+1</f>
        <v>87</v>
      </c>
      <c r="F50" s="228">
        <v>4</v>
      </c>
      <c r="G50" s="257" t="s">
        <v>178</v>
      </c>
      <c r="H50" s="228">
        <v>11</v>
      </c>
      <c r="I50" s="258" t="str">
        <f t="shared" ca="1" si="9"/>
        <v>Schwaben</v>
      </c>
      <c r="J50" s="272" t="s">
        <v>16</v>
      </c>
      <c r="K50" s="273"/>
      <c r="L50" s="258" t="str">
        <f ca="1">IF($T37="","Sieger "&amp;$E37,IF($T37=2,$I37,$L37))</f>
        <v>Baden</v>
      </c>
      <c r="M50" s="257" t="s">
        <v>178</v>
      </c>
      <c r="N50" s="273"/>
      <c r="O50" s="266" t="str">
        <f ca="1">IF($T37="","Verlierer "&amp;$E37,IF($T37=0,$I37,$L37))</f>
        <v>Sachsen</v>
      </c>
      <c r="P50" s="267" t="s">
        <v>404</v>
      </c>
      <c r="Q50" s="260">
        <v>38</v>
      </c>
      <c r="R50" s="261" t="s">
        <v>15</v>
      </c>
      <c r="S50" s="262">
        <v>29</v>
      </c>
      <c r="T50" s="263">
        <f t="shared" si="3"/>
        <v>2</v>
      </c>
      <c r="U50" s="5" t="s">
        <v>15</v>
      </c>
      <c r="V50" s="264">
        <f t="shared" si="4"/>
        <v>0</v>
      </c>
      <c r="W50" s="58"/>
      <c r="X50" s="5" t="s">
        <v>37</v>
      </c>
      <c r="Y50" s="5" t="s">
        <v>37</v>
      </c>
      <c r="Z50" s="7" t="s">
        <v>58</v>
      </c>
      <c r="AA50" s="60" t="s">
        <v>119</v>
      </c>
      <c r="AB50" s="60"/>
      <c r="AC50" s="14" t="str">
        <f t="shared" si="8"/>
        <v xml:space="preserve">Kr </v>
      </c>
    </row>
    <row r="51" spans="2:29">
      <c r="B51" s="242" t="s">
        <v>311</v>
      </c>
      <c r="C51" s="6">
        <v>8</v>
      </c>
      <c r="D51" s="271">
        <f>+Daten!P11</f>
        <v>0.49652777777777773</v>
      </c>
      <c r="E51" s="6">
        <f t="shared" si="6"/>
        <v>88</v>
      </c>
      <c r="F51" s="6">
        <v>1</v>
      </c>
      <c r="G51" s="251" t="s">
        <v>140</v>
      </c>
      <c r="H51" s="6"/>
      <c r="I51" s="244" t="str">
        <f ca="1">IF($T27="","Platz 5 / Verlierer "&amp;$E27,IF($T27=0,$I27,$L27))</f>
        <v>Hessen</v>
      </c>
      <c r="J51" s="7" t="s">
        <v>16</v>
      </c>
      <c r="K51" s="6"/>
      <c r="L51" s="268" t="str">
        <f ca="1">IF($T28="","Platz 5 / Verlierer "&amp;$E28,IF($T28=0,$I28,$L28))</f>
        <v>Baden</v>
      </c>
      <c r="M51" s="251" t="s">
        <v>140</v>
      </c>
      <c r="N51" s="11"/>
      <c r="O51" s="268" t="str">
        <f ca="1">IF($T39="","Sieger "&amp;$E39&amp;" (Platz 7-9)",IF($T39=2,$I39,$L39))</f>
        <v>Rheinland</v>
      </c>
      <c r="P51" s="269" t="s">
        <v>396</v>
      </c>
      <c r="Q51" s="253">
        <v>29</v>
      </c>
      <c r="R51" s="254" t="s">
        <v>15</v>
      </c>
      <c r="S51" s="255">
        <v>36</v>
      </c>
      <c r="T51" s="223">
        <f t="shared" ref="T51:T68" si="10">IF(Q51="","",IF(Q51&gt;S51,2,IF(Q51&lt;S51,0,1)))</f>
        <v>0</v>
      </c>
      <c r="U51" s="7" t="s">
        <v>15</v>
      </c>
      <c r="V51" s="8">
        <f t="shared" ref="V51:V68" si="11">IF(S51="","",IF(S51&gt;Q51,2,IF(S51&lt;Q51,0,1)))</f>
        <v>2</v>
      </c>
      <c r="W51" s="6"/>
      <c r="X51" s="7" t="s">
        <v>37</v>
      </c>
      <c r="Y51" s="7" t="s">
        <v>37</v>
      </c>
      <c r="Z51" s="7" t="s">
        <v>59</v>
      </c>
      <c r="AA51" s="60" t="s">
        <v>212</v>
      </c>
      <c r="AB51" s="60"/>
      <c r="AC51" s="14" t="str">
        <f t="shared" si="8"/>
        <v>Pl 5</v>
      </c>
    </row>
    <row r="52" spans="2:29">
      <c r="B52" s="242" t="s">
        <v>312</v>
      </c>
      <c r="C52" s="265">
        <v>8</v>
      </c>
      <c r="D52" s="6"/>
      <c r="E52" s="6">
        <f t="shared" si="6"/>
        <v>89</v>
      </c>
      <c r="F52" s="6">
        <v>2</v>
      </c>
      <c r="G52" s="251" t="s">
        <v>139</v>
      </c>
      <c r="H52" s="6"/>
      <c r="I52" s="244" t="str">
        <f ca="1">IF($T29="","Platz 5 / Verlierer "&amp;$E29,IF($T29=0,$I29,$L29))</f>
        <v>Rheinland</v>
      </c>
      <c r="J52" s="270" t="s">
        <v>16</v>
      </c>
      <c r="K52" s="11"/>
      <c r="L52" s="268" t="str">
        <f ca="1">IF($T30="","Platz 5, Verlierer "&amp;$E30,IF($T30=0,$I30,$L30))</f>
        <v>Schwaben</v>
      </c>
      <c r="M52" s="251" t="s">
        <v>139</v>
      </c>
      <c r="N52" s="11"/>
      <c r="O52" s="268" t="str">
        <f ca="1">IF($T40="","Sieger "&amp;$E40&amp;" (Platz 7-9)",IF($T40=2,$I40,$L40))</f>
        <v>Westfalen</v>
      </c>
      <c r="P52" s="269" t="s">
        <v>400</v>
      </c>
      <c r="Q52" s="253">
        <v>34</v>
      </c>
      <c r="R52" s="254" t="s">
        <v>15</v>
      </c>
      <c r="S52" s="255">
        <v>25</v>
      </c>
      <c r="T52" s="223">
        <f t="shared" si="10"/>
        <v>2</v>
      </c>
      <c r="U52" s="7" t="s">
        <v>15</v>
      </c>
      <c r="V52" s="8">
        <f t="shared" si="11"/>
        <v>0</v>
      </c>
      <c r="W52" s="6"/>
      <c r="X52" s="7" t="s">
        <v>37</v>
      </c>
      <c r="Y52" s="7" t="s">
        <v>37</v>
      </c>
      <c r="Z52" s="7" t="s">
        <v>59</v>
      </c>
      <c r="AA52" s="60" t="s">
        <v>212</v>
      </c>
      <c r="AB52" s="60"/>
      <c r="AC52" s="14" t="str">
        <f t="shared" si="8"/>
        <v>Pl 5</v>
      </c>
    </row>
    <row r="53" spans="2:29">
      <c r="B53" s="242" t="s">
        <v>318</v>
      </c>
      <c r="C53" s="265">
        <v>8</v>
      </c>
      <c r="D53" s="271"/>
      <c r="E53" s="6">
        <f t="shared" si="6"/>
        <v>90</v>
      </c>
      <c r="F53" s="6">
        <v>3</v>
      </c>
      <c r="G53" s="251" t="s">
        <v>179</v>
      </c>
      <c r="H53" s="6"/>
      <c r="I53" s="244" t="str">
        <f ca="1">IF($T35="","Platz 5 / Verlierer "&amp;$E35,IF($T35=0,$I35,$L35))</f>
        <v>Pfalz</v>
      </c>
      <c r="J53" s="270" t="s">
        <v>16</v>
      </c>
      <c r="K53" s="11"/>
      <c r="L53" s="244" t="str">
        <f ca="1">IF($T36="","Platz 5 / Verlierer "&amp;$E36,IF($T36=0,$I36,$L36))</f>
        <v>Westfalen</v>
      </c>
      <c r="M53" s="251" t="s">
        <v>179</v>
      </c>
      <c r="N53" s="11"/>
      <c r="O53" s="268" t="str">
        <f ca="1">IF($T34="","Sieger "&amp;$E34&amp;" (Platz 7-8)",IF($T34=2,$I34,$L34))</f>
        <v>Baden</v>
      </c>
      <c r="P53" s="269" t="s">
        <v>393</v>
      </c>
      <c r="Q53" s="253">
        <v>34</v>
      </c>
      <c r="R53" s="254" t="s">
        <v>15</v>
      </c>
      <c r="S53" s="255">
        <v>35</v>
      </c>
      <c r="T53" s="223">
        <f t="shared" si="10"/>
        <v>0</v>
      </c>
      <c r="U53" s="7" t="s">
        <v>15</v>
      </c>
      <c r="V53" s="8">
        <f t="shared" si="11"/>
        <v>2</v>
      </c>
      <c r="W53" s="58"/>
      <c r="X53" s="7" t="s">
        <v>37</v>
      </c>
      <c r="Y53" s="7" t="s">
        <v>37</v>
      </c>
      <c r="Z53" s="7" t="s">
        <v>60</v>
      </c>
      <c r="AA53" s="60" t="s">
        <v>212</v>
      </c>
      <c r="AB53" s="60"/>
      <c r="AC53" s="14" t="str">
        <f t="shared" si="8"/>
        <v>Pl 5</v>
      </c>
    </row>
    <row r="54" spans="2:29">
      <c r="B54" s="242" t="s">
        <v>317</v>
      </c>
      <c r="C54" s="256">
        <v>8</v>
      </c>
      <c r="D54" s="228"/>
      <c r="E54" s="228">
        <f>+E53+1</f>
        <v>91</v>
      </c>
      <c r="F54" s="228">
        <v>4</v>
      </c>
      <c r="G54" s="257" t="s">
        <v>178</v>
      </c>
      <c r="H54" s="228"/>
      <c r="I54" s="258" t="str">
        <f ca="1">IF($T37="","Platz 5 / Verlierer "&amp;$E37,IF($T37=0,$I37,$L37))</f>
        <v>Sachsen</v>
      </c>
      <c r="J54" s="272" t="s">
        <v>16</v>
      </c>
      <c r="K54" s="273"/>
      <c r="L54" s="258" t="str">
        <f ca="1">IF($T38="","Platz 5 / Verlierer "&amp;$E38,IF($T38=0,$I38,$L38))</f>
        <v>Bremen</v>
      </c>
      <c r="M54" s="257" t="s">
        <v>178</v>
      </c>
      <c r="N54" s="273"/>
      <c r="O54" s="266" t="str">
        <f ca="1">IF($T41="","Sieger "&amp;$E41&amp;" (Platz 7-9)",IF($T41=2,$I41,$L41))</f>
        <v>Niedersachsen</v>
      </c>
      <c r="P54" s="267" t="s">
        <v>354</v>
      </c>
      <c r="Q54" s="260">
        <v>30</v>
      </c>
      <c r="R54" s="261" t="s">
        <v>15</v>
      </c>
      <c r="S54" s="262">
        <v>37</v>
      </c>
      <c r="T54" s="263">
        <f t="shared" si="10"/>
        <v>0</v>
      </c>
      <c r="U54" s="5" t="s">
        <v>15</v>
      </c>
      <c r="V54" s="264">
        <f t="shared" si="11"/>
        <v>2</v>
      </c>
      <c r="W54" s="58"/>
      <c r="X54" s="5" t="s">
        <v>37</v>
      </c>
      <c r="Y54" s="5" t="s">
        <v>37</v>
      </c>
      <c r="Z54" s="7" t="s">
        <v>60</v>
      </c>
      <c r="AA54" s="60" t="s">
        <v>212</v>
      </c>
      <c r="AB54" s="60"/>
      <c r="AC54" s="14" t="str">
        <f t="shared" si="8"/>
        <v>Pl 5</v>
      </c>
    </row>
    <row r="55" spans="2:29">
      <c r="B55" s="242" t="s">
        <v>313</v>
      </c>
      <c r="C55" s="6">
        <v>9</v>
      </c>
      <c r="D55" s="271">
        <f>+Daten!P12</f>
        <v>0.51388888888888884</v>
      </c>
      <c r="E55" s="6">
        <f>+E54+1</f>
        <v>92</v>
      </c>
      <c r="F55" s="6">
        <v>1</v>
      </c>
      <c r="G55" s="251" t="s">
        <v>140</v>
      </c>
      <c r="H55" s="6"/>
      <c r="I55" s="268" t="str">
        <f ca="1">IF($T43="","Platz 3 / Verlierer "&amp;$E43,IF($T43=0,$I43,$L43))</f>
        <v>Schwaben</v>
      </c>
      <c r="J55" s="7" t="s">
        <v>16</v>
      </c>
      <c r="K55" s="6"/>
      <c r="L55" s="268" t="str">
        <f ca="1">IF($T44="","Platz 3 / Verlierer "&amp;$E44,IF($T44=0,$I44,$L44))</f>
        <v>Niedersachsen</v>
      </c>
      <c r="M55" s="251" t="s">
        <v>140</v>
      </c>
      <c r="N55" s="11"/>
      <c r="O55" s="268" t="str">
        <f ca="1">IF($T51="","Sieger "&amp;$E51&amp;" (Platz 5)",IF($T51=2,$I51,$L51))</f>
        <v>Baden</v>
      </c>
      <c r="P55" s="269" t="s">
        <v>390</v>
      </c>
      <c r="Q55" s="253">
        <v>30</v>
      </c>
      <c r="R55" s="254" t="s">
        <v>15</v>
      </c>
      <c r="S55" s="255">
        <v>32</v>
      </c>
      <c r="T55" s="223">
        <f t="shared" si="10"/>
        <v>0</v>
      </c>
      <c r="U55" s="7" t="s">
        <v>15</v>
      </c>
      <c r="V55" s="8">
        <f t="shared" si="11"/>
        <v>2</v>
      </c>
      <c r="W55" s="244"/>
      <c r="X55" s="7" t="s">
        <v>37</v>
      </c>
      <c r="Y55" s="7" t="s">
        <v>37</v>
      </c>
      <c r="Z55" s="7" t="s">
        <v>61</v>
      </c>
      <c r="AA55" s="60" t="s">
        <v>213</v>
      </c>
      <c r="AB55" s="60"/>
      <c r="AC55" s="14" t="str">
        <f t="shared" si="8"/>
        <v>Pl 3</v>
      </c>
    </row>
    <row r="56" spans="2:29">
      <c r="B56" s="242" t="s">
        <v>315</v>
      </c>
      <c r="C56" s="328">
        <v>9</v>
      </c>
      <c r="D56" s="271"/>
      <c r="E56" s="11">
        <f>+E55+1</f>
        <v>93</v>
      </c>
      <c r="F56" s="11">
        <v>2</v>
      </c>
      <c r="G56" s="251" t="s">
        <v>139</v>
      </c>
      <c r="H56" s="11"/>
      <c r="I56" s="244" t="str">
        <f ca="1">IF($T45="","Platz 3 / Verlierer "&amp;$E45,IF($T45=0,$I45,$L45))</f>
        <v>Bremen</v>
      </c>
      <c r="J56" s="270" t="s">
        <v>16</v>
      </c>
      <c r="K56" s="11"/>
      <c r="L56" s="244" t="str">
        <f ca="1">IF($T46="","Platz 3 / Verlierer "&amp;$E46,IF($T46=0,$I46,$L46))</f>
        <v>Sachsen</v>
      </c>
      <c r="M56" s="251" t="s">
        <v>179</v>
      </c>
      <c r="N56" s="11"/>
      <c r="O56" s="268" t="str">
        <f ca="1">IF($T52="","Sieger "&amp;$E52&amp;" (Platz 5)",IF($T52=2,$I52,$L52))</f>
        <v>Rheinland</v>
      </c>
      <c r="P56" s="252" t="s">
        <v>345</v>
      </c>
      <c r="Q56" s="253">
        <v>29</v>
      </c>
      <c r="R56" s="254" t="s">
        <v>15</v>
      </c>
      <c r="S56" s="255">
        <v>35</v>
      </c>
      <c r="T56" s="223">
        <f t="shared" si="10"/>
        <v>0</v>
      </c>
      <c r="U56" s="7" t="s">
        <v>15</v>
      </c>
      <c r="V56" s="8">
        <f t="shared" si="11"/>
        <v>2</v>
      </c>
      <c r="W56" s="58"/>
      <c r="X56" s="7" t="s">
        <v>37</v>
      </c>
      <c r="Y56" s="7" t="s">
        <v>37</v>
      </c>
      <c r="Z56" s="7" t="s">
        <v>61</v>
      </c>
      <c r="AA56" s="60" t="s">
        <v>213</v>
      </c>
      <c r="AB56" s="14"/>
      <c r="AC56" s="14" t="str">
        <f t="shared" si="8"/>
        <v>Pl 3</v>
      </c>
    </row>
    <row r="57" spans="2:29">
      <c r="B57" s="242" t="s">
        <v>320</v>
      </c>
      <c r="C57" s="265">
        <v>9</v>
      </c>
      <c r="D57" s="271"/>
      <c r="E57" s="6">
        <f>+E56+1</f>
        <v>94</v>
      </c>
      <c r="F57" s="6">
        <v>3</v>
      </c>
      <c r="G57" s="251" t="s">
        <v>179</v>
      </c>
      <c r="H57" s="6"/>
      <c r="I57" s="268" t="str">
        <f ca="1">IF($T47="","Platz 3 / Verlierer "&amp;$E47,IF($T47=0,$I47,$L47))</f>
        <v>Berlin</v>
      </c>
      <c r="J57" s="270" t="s">
        <v>16</v>
      </c>
      <c r="K57" s="11"/>
      <c r="L57" s="268" t="str">
        <f ca="1">IF($T48="","Platz 3 / Verlierer "&amp;$E48,IF($T48=0,$I48,$L48))</f>
        <v>Niedersachsen</v>
      </c>
      <c r="M57" s="251" t="s">
        <v>140</v>
      </c>
      <c r="N57" s="11"/>
      <c r="O57" s="268" t="str">
        <f ca="1">IF($T53="","Sieger "&amp;$E53&amp;" (Platz 5)",IF($T53=2,$I53,$L53))</f>
        <v>Westfalen</v>
      </c>
      <c r="P57" s="252" t="s">
        <v>353</v>
      </c>
      <c r="Q57" s="253">
        <v>25</v>
      </c>
      <c r="R57" s="254" t="s">
        <v>15</v>
      </c>
      <c r="S57" s="255">
        <v>33</v>
      </c>
      <c r="T57" s="223">
        <f t="shared" si="10"/>
        <v>0</v>
      </c>
      <c r="U57" s="7" t="s">
        <v>15</v>
      </c>
      <c r="V57" s="8">
        <f t="shared" si="11"/>
        <v>2</v>
      </c>
      <c r="W57" s="6"/>
      <c r="X57" s="7" t="s">
        <v>37</v>
      </c>
      <c r="Y57" s="7" t="s">
        <v>37</v>
      </c>
      <c r="Z57" s="7" t="s">
        <v>62</v>
      </c>
      <c r="AA57" s="60" t="s">
        <v>213</v>
      </c>
      <c r="AB57" s="14"/>
      <c r="AC57" s="14" t="str">
        <f t="shared" si="8"/>
        <v>Pl 3</v>
      </c>
    </row>
    <row r="58" spans="2:29">
      <c r="B58" s="242" t="s">
        <v>319</v>
      </c>
      <c r="C58" s="256">
        <v>9</v>
      </c>
      <c r="D58" s="274"/>
      <c r="E58" s="228">
        <f>+E57+1</f>
        <v>95</v>
      </c>
      <c r="F58" s="228">
        <v>4</v>
      </c>
      <c r="G58" s="257" t="s">
        <v>178</v>
      </c>
      <c r="H58" s="228"/>
      <c r="I58" s="258" t="str">
        <f ca="1">IF($T49="","Platz 3 / Verlierer "&amp;$E49,IF($T49=0,$I49,$L49))</f>
        <v>Pfalz</v>
      </c>
      <c r="J58" s="272" t="s">
        <v>16</v>
      </c>
      <c r="K58" s="273"/>
      <c r="L58" s="258" t="str">
        <f ca="1">IF($T50="","Platz 3 / Verlierer "&amp;$E50,IF($T50=0,$I50,$L50))</f>
        <v>Baden</v>
      </c>
      <c r="M58" s="257" t="s">
        <v>139</v>
      </c>
      <c r="N58" s="273"/>
      <c r="O58" s="266" t="str">
        <f ca="1">IF($T54="","Sieger "&amp;$E54&amp;" (Platz 5)",IF($T54=2,$I54,$L54))</f>
        <v>Bremen</v>
      </c>
      <c r="P58" s="259" t="s">
        <v>372</v>
      </c>
      <c r="Q58" s="260">
        <v>34</v>
      </c>
      <c r="R58" s="261" t="s">
        <v>15</v>
      </c>
      <c r="S58" s="262">
        <v>33</v>
      </c>
      <c r="T58" s="263">
        <f t="shared" si="10"/>
        <v>2</v>
      </c>
      <c r="U58" s="5" t="s">
        <v>15</v>
      </c>
      <c r="V58" s="264">
        <f t="shared" si="11"/>
        <v>0</v>
      </c>
      <c r="W58" s="6"/>
      <c r="X58" s="7" t="s">
        <v>37</v>
      </c>
      <c r="Y58" s="7" t="s">
        <v>37</v>
      </c>
      <c r="Z58" s="7" t="s">
        <v>62</v>
      </c>
      <c r="AA58" s="60" t="s">
        <v>213</v>
      </c>
      <c r="AB58" s="14"/>
      <c r="AC58" s="14" t="str">
        <f t="shared" si="8"/>
        <v>Pl 3</v>
      </c>
    </row>
    <row r="59" spans="2:29">
      <c r="B59" s="242" t="s">
        <v>314</v>
      </c>
      <c r="C59" s="6">
        <v>10</v>
      </c>
      <c r="D59" s="276">
        <f>+Daten!P13</f>
        <v>0.55208333333333337</v>
      </c>
      <c r="E59" s="6">
        <f t="shared" si="6"/>
        <v>96</v>
      </c>
      <c r="F59" s="6">
        <v>1</v>
      </c>
      <c r="G59" s="251" t="s">
        <v>140</v>
      </c>
      <c r="H59" s="6"/>
      <c r="I59" s="244" t="str">
        <f ca="1">IF($T43="","Platz 1 / Sieger "&amp;$E43,IF($T43=2,$I43,$L43))</f>
        <v>Westfalen</v>
      </c>
      <c r="J59" s="7" t="s">
        <v>16</v>
      </c>
      <c r="K59" s="6"/>
      <c r="L59" s="244" t="str">
        <f ca="1">IF($T44="","Platz 1 / Sieger "&amp;$E44,IF($T44=2,$I44,$L44))</f>
        <v>Bremen</v>
      </c>
      <c r="M59" s="251" t="s">
        <v>140</v>
      </c>
      <c r="N59" s="11"/>
      <c r="O59" s="268" t="str">
        <f ca="1">IF($T55="","Sieger "&amp;$E55&amp;" (Platz 3)",IF($T55=2,$I55,$L55))</f>
        <v>Niedersachsen</v>
      </c>
      <c r="P59" s="252" t="s">
        <v>389</v>
      </c>
      <c r="Q59" s="253">
        <v>34</v>
      </c>
      <c r="R59" s="254" t="s">
        <v>15</v>
      </c>
      <c r="S59" s="255">
        <v>32</v>
      </c>
      <c r="T59" s="223">
        <f t="shared" si="10"/>
        <v>2</v>
      </c>
      <c r="U59" s="7" t="s">
        <v>15</v>
      </c>
      <c r="V59" s="8">
        <f t="shared" si="11"/>
        <v>0</v>
      </c>
      <c r="W59" s="58"/>
      <c r="X59" s="10" t="s">
        <v>37</v>
      </c>
      <c r="Y59" s="10" t="s">
        <v>37</v>
      </c>
      <c r="Z59" s="7" t="s">
        <v>63</v>
      </c>
      <c r="AA59" s="60" t="s">
        <v>365</v>
      </c>
      <c r="AB59" s="14"/>
      <c r="AC59" s="14" t="str">
        <f t="shared" si="8"/>
        <v>Pl 1</v>
      </c>
    </row>
    <row r="60" spans="2:29">
      <c r="B60" s="242" t="s">
        <v>316</v>
      </c>
      <c r="C60" s="275">
        <v>11</v>
      </c>
      <c r="D60" s="276">
        <f>+Daten!P14</f>
        <v>0.56944444444444453</v>
      </c>
      <c r="E60" s="275">
        <f t="shared" si="6"/>
        <v>97</v>
      </c>
      <c r="F60" s="275">
        <v>1</v>
      </c>
      <c r="G60" s="277" t="s">
        <v>139</v>
      </c>
      <c r="H60" s="275"/>
      <c r="I60" s="329" t="str">
        <f ca="1">IF($T45="","Platz 1 / Sieger "&amp;$E45,IF($T45=2,$I45,$L45))</f>
        <v>Niedersachsen</v>
      </c>
      <c r="J60" s="10" t="s">
        <v>16</v>
      </c>
      <c r="K60" s="275"/>
      <c r="L60" s="278" t="str">
        <f ca="1">IF(T46="","Platz 1 / Sieger "&amp;E46,IF(T46=2,I46,L46))</f>
        <v>Baden</v>
      </c>
      <c r="M60" s="277" t="s">
        <v>139</v>
      </c>
      <c r="N60" s="326"/>
      <c r="O60" s="278" t="str">
        <f ca="1">IF($T56="","Sieger  "&amp;$E56&amp;" (Platz 3)",IF($T56=2,$I56,$L56))</f>
        <v>Sachsen</v>
      </c>
      <c r="P60" s="279" t="s">
        <v>392</v>
      </c>
      <c r="Q60" s="280">
        <v>37</v>
      </c>
      <c r="R60" s="281" t="s">
        <v>15</v>
      </c>
      <c r="S60" s="282">
        <v>31</v>
      </c>
      <c r="T60" s="283">
        <f t="shared" si="10"/>
        <v>2</v>
      </c>
      <c r="U60" s="10" t="s">
        <v>15</v>
      </c>
      <c r="V60" s="284">
        <f t="shared" si="11"/>
        <v>0</v>
      </c>
      <c r="W60" s="58"/>
      <c r="X60" s="10" t="s">
        <v>37</v>
      </c>
      <c r="Y60" s="10" t="s">
        <v>37</v>
      </c>
      <c r="Z60" s="7" t="s">
        <v>63</v>
      </c>
      <c r="AA60" s="60" t="s">
        <v>365</v>
      </c>
      <c r="AB60" s="14"/>
      <c r="AC60" s="14" t="str">
        <f t="shared" si="8"/>
        <v>Pl 1</v>
      </c>
    </row>
    <row r="61" spans="2:29">
      <c r="B61" s="242" t="s">
        <v>321</v>
      </c>
      <c r="C61" s="275">
        <v>12</v>
      </c>
      <c r="D61" s="276">
        <f>+Daten!P15</f>
        <v>0.58680555555555569</v>
      </c>
      <c r="E61" s="275">
        <f>+E60+1</f>
        <v>98</v>
      </c>
      <c r="F61" s="275">
        <v>1</v>
      </c>
      <c r="G61" s="277" t="s">
        <v>179</v>
      </c>
      <c r="H61" s="275"/>
      <c r="I61" s="244" t="str">
        <f ca="1">IF($T47="","Platz 1 / Sieger "&amp;$E47,IF($T47=2,$I47,$L47))</f>
        <v>Bremen</v>
      </c>
      <c r="J61" s="7" t="s">
        <v>16</v>
      </c>
      <c r="K61" s="6"/>
      <c r="L61" s="244" t="str">
        <f ca="1">IF($T48="","Platz 1 / Sieger "&amp;$E48,IF($T48=2,$I48,$L48))</f>
        <v>Rheinland</v>
      </c>
      <c r="M61" s="251" t="s">
        <v>140</v>
      </c>
      <c r="N61" s="11"/>
      <c r="O61" s="268" t="str">
        <f ca="1">IF($T57="","Sieger "&amp;$E57&amp;" (Platz 3)",IF($T57=2,$I57,$L57))</f>
        <v>Niedersachsen</v>
      </c>
      <c r="P61" s="279" t="s">
        <v>351</v>
      </c>
      <c r="Q61" s="280">
        <v>29</v>
      </c>
      <c r="R61" s="281" t="s">
        <v>15</v>
      </c>
      <c r="S61" s="282">
        <v>27</v>
      </c>
      <c r="T61" s="283">
        <f t="shared" si="10"/>
        <v>2</v>
      </c>
      <c r="U61" s="10" t="s">
        <v>15</v>
      </c>
      <c r="V61" s="284">
        <f t="shared" si="11"/>
        <v>0</v>
      </c>
      <c r="W61" s="58"/>
      <c r="X61" s="10" t="s">
        <v>37</v>
      </c>
      <c r="Y61" s="10" t="s">
        <v>37</v>
      </c>
      <c r="Z61" s="7" t="s">
        <v>64</v>
      </c>
      <c r="AA61" s="60" t="s">
        <v>365</v>
      </c>
      <c r="AB61" s="14"/>
      <c r="AC61" s="14" t="str">
        <f t="shared" si="8"/>
        <v>Pl 1</v>
      </c>
    </row>
    <row r="62" spans="2:29">
      <c r="B62" s="242" t="s">
        <v>322</v>
      </c>
      <c r="C62" s="228">
        <v>14</v>
      </c>
      <c r="D62" s="276">
        <f>+Daten!P16</f>
        <v>0.60416666666666685</v>
      </c>
      <c r="E62" s="228">
        <f>+E61+1</f>
        <v>99</v>
      </c>
      <c r="F62" s="228">
        <v>1</v>
      </c>
      <c r="G62" s="257" t="s">
        <v>178</v>
      </c>
      <c r="H62" s="228"/>
      <c r="I62" s="329" t="str">
        <f ca="1">IF($T49="","Platz 1 / Sieger "&amp;$E49,IF($T49=2,$I49,$L49))</f>
        <v>Westfalen</v>
      </c>
      <c r="J62" s="10" t="s">
        <v>16</v>
      </c>
      <c r="K62" s="275"/>
      <c r="L62" s="278" t="str">
        <f ca="1">IF(T50="","Platz 3, Verlierer "&amp;E50,IF(T50=2,I50,L50))</f>
        <v>Schwaben</v>
      </c>
      <c r="M62" s="277" t="s">
        <v>139</v>
      </c>
      <c r="N62" s="326"/>
      <c r="O62" s="278" t="str">
        <f ca="1">IF($T58="","Sieger  "&amp;$E58&amp;" (Platz 3)",IF($T58=2,$I58,$L58))</f>
        <v>Pfalz</v>
      </c>
      <c r="P62" s="259" t="s">
        <v>377</v>
      </c>
      <c r="Q62" s="260">
        <v>34</v>
      </c>
      <c r="R62" s="261" t="s">
        <v>15</v>
      </c>
      <c r="S62" s="262">
        <v>28</v>
      </c>
      <c r="T62" s="263">
        <f t="shared" si="10"/>
        <v>2</v>
      </c>
      <c r="U62" s="5" t="s">
        <v>15</v>
      </c>
      <c r="V62" s="264">
        <f t="shared" si="11"/>
        <v>0</v>
      </c>
      <c r="W62" s="58"/>
      <c r="X62" s="5" t="s">
        <v>37</v>
      </c>
      <c r="Y62" s="5" t="s">
        <v>37</v>
      </c>
      <c r="Z62" s="7" t="s">
        <v>64</v>
      </c>
      <c r="AA62" s="60" t="s">
        <v>365</v>
      </c>
      <c r="AB62" s="14"/>
      <c r="AC62" s="14" t="str">
        <f t="shared" si="8"/>
        <v>Pl 1</v>
      </c>
    </row>
    <row r="63" spans="2:29" hidden="1" outlineLevel="1">
      <c r="B63" s="242"/>
      <c r="C63" s="6">
        <f>+C59+1</f>
        <v>11</v>
      </c>
      <c r="D63" s="243">
        <f>+Daten!P14</f>
        <v>0.56944444444444453</v>
      </c>
      <c r="E63" s="6">
        <f>+E62+1</f>
        <v>100</v>
      </c>
      <c r="F63" s="6">
        <v>1</v>
      </c>
      <c r="G63" s="12"/>
      <c r="H63" s="6"/>
      <c r="I63" s="244"/>
      <c r="J63" s="270" t="s">
        <v>16</v>
      </c>
      <c r="K63" s="11"/>
      <c r="L63" s="244"/>
      <c r="M63" s="251"/>
      <c r="N63" s="11"/>
      <c r="O63" s="268"/>
      <c r="P63" s="252"/>
      <c r="Q63" s="253"/>
      <c r="R63" s="254" t="s">
        <v>15</v>
      </c>
      <c r="S63" s="255"/>
      <c r="T63" s="223" t="str">
        <f t="shared" si="10"/>
        <v/>
      </c>
      <c r="U63" s="7" t="s">
        <v>15</v>
      </c>
      <c r="V63" s="8" t="str">
        <f t="shared" si="11"/>
        <v/>
      </c>
      <c r="W63" s="58"/>
      <c r="X63" s="7" t="s">
        <v>37</v>
      </c>
      <c r="Y63" s="7" t="s">
        <v>37</v>
      </c>
      <c r="Z63" s="288"/>
      <c r="AB63" s="14"/>
    </row>
    <row r="64" spans="2:29" hidden="1" outlineLevel="1">
      <c r="B64" s="242"/>
      <c r="C64" s="6"/>
      <c r="D64" s="6"/>
      <c r="E64" s="6">
        <f>+E63+1</f>
        <v>101</v>
      </c>
      <c r="F64" s="6">
        <v>2</v>
      </c>
      <c r="G64" s="12"/>
      <c r="H64" s="6"/>
      <c r="I64" s="244"/>
      <c r="J64" s="7" t="s">
        <v>16</v>
      </c>
      <c r="K64" s="6"/>
      <c r="L64" s="244"/>
      <c r="M64" s="251"/>
      <c r="N64" s="11"/>
      <c r="O64" s="268"/>
      <c r="P64" s="252"/>
      <c r="Q64" s="253"/>
      <c r="R64" s="254" t="s">
        <v>15</v>
      </c>
      <c r="S64" s="255"/>
      <c r="T64" s="223" t="str">
        <f t="shared" si="10"/>
        <v/>
      </c>
      <c r="U64" s="7" t="s">
        <v>15</v>
      </c>
      <c r="V64" s="8" t="str">
        <f t="shared" si="11"/>
        <v/>
      </c>
      <c r="W64" s="58"/>
      <c r="X64" s="7" t="s">
        <v>37</v>
      </c>
      <c r="Y64" s="7" t="s">
        <v>37</v>
      </c>
      <c r="Z64" s="288"/>
      <c r="AB64" s="14"/>
    </row>
    <row r="65" spans="2:28" hidden="1" outlineLevel="1">
      <c r="B65" s="242"/>
      <c r="C65" s="6"/>
      <c r="D65" s="271"/>
      <c r="E65" s="6"/>
      <c r="F65" s="6">
        <v>3</v>
      </c>
      <c r="G65" s="12"/>
      <c r="H65" s="6"/>
      <c r="I65" s="268"/>
      <c r="J65" s="270" t="s">
        <v>16</v>
      </c>
      <c r="K65" s="11"/>
      <c r="L65" s="268"/>
      <c r="M65" s="251"/>
      <c r="N65" s="11"/>
      <c r="O65" s="268"/>
      <c r="P65" s="252"/>
      <c r="Q65" s="253"/>
      <c r="R65" s="254" t="s">
        <v>15</v>
      </c>
      <c r="S65" s="255"/>
      <c r="T65" s="223" t="str">
        <f t="shared" si="10"/>
        <v/>
      </c>
      <c r="U65" s="7" t="s">
        <v>15</v>
      </c>
      <c r="V65" s="8" t="str">
        <f t="shared" si="11"/>
        <v/>
      </c>
      <c r="W65" s="58"/>
      <c r="X65" s="7" t="s">
        <v>37</v>
      </c>
      <c r="Y65" s="7" t="s">
        <v>37</v>
      </c>
      <c r="Z65" s="288"/>
      <c r="AB65" s="14"/>
    </row>
    <row r="66" spans="2:28" hidden="1" outlineLevel="1">
      <c r="B66" s="242"/>
      <c r="C66" s="228"/>
      <c r="D66" s="228"/>
      <c r="E66" s="228"/>
      <c r="F66" s="228">
        <v>4</v>
      </c>
      <c r="G66" s="285"/>
      <c r="H66" s="228"/>
      <c r="I66" s="266"/>
      <c r="J66" s="272" t="s">
        <v>16</v>
      </c>
      <c r="K66" s="273"/>
      <c r="L66" s="266"/>
      <c r="M66" s="257"/>
      <c r="N66" s="273"/>
      <c r="O66" s="266"/>
      <c r="P66" s="259"/>
      <c r="Q66" s="260"/>
      <c r="R66" s="261" t="s">
        <v>15</v>
      </c>
      <c r="S66" s="262"/>
      <c r="T66" s="263" t="str">
        <f t="shared" si="10"/>
        <v/>
      </c>
      <c r="U66" s="5" t="s">
        <v>15</v>
      </c>
      <c r="V66" s="264" t="str">
        <f t="shared" si="11"/>
        <v/>
      </c>
      <c r="W66" s="58"/>
      <c r="X66" s="5" t="s">
        <v>37</v>
      </c>
      <c r="Y66" s="5" t="s">
        <v>37</v>
      </c>
      <c r="Z66" s="288"/>
      <c r="AB66" s="14"/>
    </row>
    <row r="67" spans="2:28" hidden="1" outlineLevel="1">
      <c r="B67" s="242"/>
      <c r="C67" s="6">
        <f>+C63+1</f>
        <v>12</v>
      </c>
      <c r="D67" s="243">
        <f>+Daten!P15</f>
        <v>0.58680555555555569</v>
      </c>
      <c r="E67" s="6">
        <f>+E64+1</f>
        <v>102</v>
      </c>
      <c r="F67" s="6">
        <v>2</v>
      </c>
      <c r="G67" s="12"/>
      <c r="H67" s="6"/>
      <c r="I67" s="258" t="str">
        <f ca="1">IF($T44="","Platz 5 / Verlierer "&amp;$E44,IF($T44=0,$I44,$L44))</f>
        <v>Niedersachsen</v>
      </c>
      <c r="J67" s="270" t="s">
        <v>16</v>
      </c>
      <c r="K67" s="6"/>
      <c r="L67" s="258" t="str">
        <f ca="1">IF($T45="","Platz 5 / Verlierer "&amp;$E45,IF($T45=0,$I45,$L45))</f>
        <v>Bremen</v>
      </c>
      <c r="M67" s="251"/>
      <c r="N67" s="6"/>
      <c r="O67" s="258" t="str">
        <f>IF(Q65="","7. Platz",'w15-18'!Q73)</f>
        <v>7. Platz</v>
      </c>
      <c r="P67" s="269"/>
      <c r="Q67" s="253"/>
      <c r="R67" s="254" t="s">
        <v>15</v>
      </c>
      <c r="S67" s="255"/>
      <c r="T67" s="223" t="str">
        <f t="shared" si="10"/>
        <v/>
      </c>
      <c r="U67" s="7" t="s">
        <v>15</v>
      </c>
      <c r="V67" s="8" t="str">
        <f t="shared" si="11"/>
        <v/>
      </c>
      <c r="W67" s="58"/>
      <c r="X67" s="7" t="s">
        <v>37</v>
      </c>
      <c r="Y67" s="7" t="s">
        <v>37</v>
      </c>
      <c r="Z67" s="288"/>
      <c r="AB67" s="14"/>
    </row>
    <row r="68" spans="2:28" hidden="1" outlineLevel="1">
      <c r="B68" s="242"/>
      <c r="C68" s="228"/>
      <c r="D68" s="228"/>
      <c r="E68" s="228">
        <f t="shared" ref="E68:E84" si="12">+E67+1</f>
        <v>103</v>
      </c>
      <c r="F68" s="228">
        <v>3</v>
      </c>
      <c r="G68" s="285"/>
      <c r="H68" s="228"/>
      <c r="I68" s="268" t="str">
        <f ca="1">IF($T50="","Platz 3 / Verlierer "&amp;$E50,IF($T50=0,$I50,$L50))</f>
        <v>Baden</v>
      </c>
      <c r="J68" s="5" t="s">
        <v>16</v>
      </c>
      <c r="K68" s="228"/>
      <c r="L68" s="268" t="str">
        <f ca="1">IF($T51="","Platz 3 / Verlierer "&amp;$E51,IF($T51=0,$I51,$L51))</f>
        <v>Hessen</v>
      </c>
      <c r="M68" s="285"/>
      <c r="N68" s="228"/>
      <c r="O68" s="244" t="str">
        <f>IF(Q63="","5. Platz",#REF!)</f>
        <v>5. Platz</v>
      </c>
      <c r="P68" s="259"/>
      <c r="Q68" s="260"/>
      <c r="R68" s="261" t="s">
        <v>15</v>
      </c>
      <c r="S68" s="262"/>
      <c r="T68" s="263" t="str">
        <f t="shared" si="10"/>
        <v/>
      </c>
      <c r="U68" s="5" t="s">
        <v>15</v>
      </c>
      <c r="V68" s="264" t="str">
        <f t="shared" si="11"/>
        <v/>
      </c>
      <c r="W68" s="58"/>
      <c r="X68" s="5" t="s">
        <v>37</v>
      </c>
      <c r="Y68" s="5" t="s">
        <v>37</v>
      </c>
      <c r="Z68" s="288"/>
      <c r="AB68" s="14"/>
    </row>
    <row r="69" spans="2:28" hidden="1" outlineLevel="1">
      <c r="B69" s="242"/>
      <c r="C69" s="6">
        <f>+C67+1</f>
        <v>13</v>
      </c>
      <c r="D69" s="243">
        <f>+Daten!P16</f>
        <v>0.60416666666666685</v>
      </c>
      <c r="E69" s="6">
        <f t="shared" si="12"/>
        <v>104</v>
      </c>
      <c r="F69" s="6">
        <v>2</v>
      </c>
      <c r="G69" s="12"/>
      <c r="H69" s="6"/>
      <c r="I69" s="244" t="str">
        <f ca="1">IF($T52="","Platz 3 / Verlierer "&amp;$E52,IF($T52=0,$I52,$L52))</f>
        <v>Schwaben</v>
      </c>
      <c r="J69" s="7" t="s">
        <v>16</v>
      </c>
      <c r="K69" s="6"/>
      <c r="L69" s="244" t="str">
        <f ca="1">IF($T53="","Platz 3 / Verlierer "&amp;$E53,IF($T53=0,$I53,$L53))</f>
        <v>Pfalz</v>
      </c>
      <c r="M69" s="12"/>
      <c r="N69" s="6"/>
      <c r="O69" s="244" t="e">
        <f>IF(Q62="","5. Platz",#REF!)</f>
        <v>#REF!</v>
      </c>
      <c r="P69" s="252"/>
      <c r="Q69" s="253"/>
      <c r="R69" s="254" t="s">
        <v>15</v>
      </c>
      <c r="S69" s="255"/>
      <c r="T69" s="223" t="str">
        <f t="shared" ref="T69:T74" si="13">IF(Q69="","",IF(Q69&gt;S69,2,IF(Q69&lt;S69,0,1)))</f>
        <v/>
      </c>
      <c r="U69" s="7" t="s">
        <v>15</v>
      </c>
      <c r="V69" s="8" t="str">
        <f t="shared" ref="V69:V74" si="14">IF(S69="","",IF(S69&gt;Q69,2,IF(S69&lt;Q69,0,1)))</f>
        <v/>
      </c>
      <c r="W69" s="58"/>
      <c r="X69" s="7" t="s">
        <v>37</v>
      </c>
      <c r="Y69" s="7" t="s">
        <v>37</v>
      </c>
      <c r="Z69" s="288"/>
      <c r="AB69" s="14"/>
    </row>
    <row r="70" spans="2:28" hidden="1" outlineLevel="1">
      <c r="B70" s="242"/>
      <c r="C70" s="228"/>
      <c r="D70" s="228"/>
      <c r="E70" s="228">
        <f t="shared" si="12"/>
        <v>105</v>
      </c>
      <c r="F70" s="228">
        <v>3</v>
      </c>
      <c r="G70" s="285"/>
      <c r="H70" s="228"/>
      <c r="I70" s="244" t="str">
        <f ca="1">IF($T60="","Platz 3 / Verlierer "&amp;$E60,IF($T60=0,$I60,$L60))</f>
        <v>Baden</v>
      </c>
      <c r="J70" s="5" t="s">
        <v>16</v>
      </c>
      <c r="K70" s="228"/>
      <c r="L70" s="244" t="str">
        <f ca="1">IF($T61="","Platz 3 / Verlierer "&amp;$E61,IF($T61=0,$I61,$L61))</f>
        <v>Rheinland</v>
      </c>
      <c r="M70" s="285"/>
      <c r="N70" s="228"/>
      <c r="O70" s="268" t="str">
        <f>IF($T67="","Sieger "&amp;$E67&amp;" (Platz 5)",IF($T67=2,$I67,$L67))</f>
        <v>Sieger 102 (Platz 5)</v>
      </c>
      <c r="P70" s="259"/>
      <c r="Q70" s="260"/>
      <c r="R70" s="261" t="s">
        <v>15</v>
      </c>
      <c r="S70" s="262"/>
      <c r="T70" s="263" t="str">
        <f t="shared" si="13"/>
        <v/>
      </c>
      <c r="U70" s="5" t="s">
        <v>15</v>
      </c>
      <c r="V70" s="264" t="str">
        <f t="shared" si="14"/>
        <v/>
      </c>
      <c r="W70" s="58"/>
      <c r="X70" s="5" t="s">
        <v>37</v>
      </c>
      <c r="Y70" s="5" t="s">
        <v>37</v>
      </c>
      <c r="Z70" s="288"/>
      <c r="AB70" s="14"/>
    </row>
    <row r="71" spans="2:28" hidden="1" outlineLevel="1">
      <c r="B71" s="242"/>
      <c r="C71" s="6">
        <f>+C69+1</f>
        <v>14</v>
      </c>
      <c r="D71" s="243">
        <f>+Daten!P17</f>
        <v>0.62152777777777801</v>
      </c>
      <c r="E71" s="6">
        <f t="shared" si="12"/>
        <v>106</v>
      </c>
      <c r="F71" s="6">
        <v>2</v>
      </c>
      <c r="G71" s="12"/>
      <c r="H71" s="6"/>
      <c r="I71" s="258" t="str">
        <f ca="1">IF($T58="","Platz 3 / Verlierer "&amp;$E58,IF($T58=0,$I58,$L58))</f>
        <v>Baden</v>
      </c>
      <c r="J71" s="7" t="s">
        <v>16</v>
      </c>
      <c r="K71" s="6"/>
      <c r="L71" s="266" t="str">
        <f ca="1">IF(T59="","Platz 3, Verlierer "&amp;E59,IF(T59=0,I59,L59))</f>
        <v>Bremen</v>
      </c>
      <c r="M71" s="12"/>
      <c r="N71" s="6"/>
      <c r="O71" s="266" t="str">
        <f>IF($T66="","Sieger  "&amp;$E66&amp;" (Platz 5)",IF($T66=2,$I66,$L66))</f>
        <v>Sieger   (Platz 5)</v>
      </c>
      <c r="P71" s="252"/>
      <c r="Q71" s="253"/>
      <c r="R71" s="254" t="s">
        <v>15</v>
      </c>
      <c r="S71" s="255"/>
      <c r="T71" s="223" t="str">
        <f t="shared" si="13"/>
        <v/>
      </c>
      <c r="U71" s="7" t="s">
        <v>15</v>
      </c>
      <c r="V71" s="8" t="str">
        <f t="shared" si="14"/>
        <v/>
      </c>
      <c r="W71" s="58"/>
      <c r="X71" s="7" t="s">
        <v>37</v>
      </c>
      <c r="Y71" s="7" t="s">
        <v>37</v>
      </c>
      <c r="Z71" s="288"/>
      <c r="AB71" s="14"/>
    </row>
    <row r="72" spans="2:28" hidden="1" outlineLevel="1">
      <c r="B72" s="242"/>
      <c r="C72" s="228"/>
      <c r="D72" s="228"/>
      <c r="E72" s="228">
        <f t="shared" si="12"/>
        <v>107</v>
      </c>
      <c r="F72" s="228">
        <v>3</v>
      </c>
      <c r="G72" s="285"/>
      <c r="H72" s="228"/>
      <c r="I72" s="278" t="str">
        <f ca="1">IF($T50="","Endspiel w11-14 / S."&amp;$E50,IF($T50=2,$I50,$L50))</f>
        <v>Schwaben</v>
      </c>
      <c r="J72" s="5" t="s">
        <v>16</v>
      </c>
      <c r="K72" s="228"/>
      <c r="L72" s="278" t="str">
        <f ca="1">IF(T51="","Sieger "&amp;E51,IF(T51=2,I51,L51))</f>
        <v>Baden</v>
      </c>
      <c r="M72" s="285"/>
      <c r="N72" s="228"/>
      <c r="O72" s="278" t="str">
        <f>IF($T68="","Sieger "&amp;$E68&amp;" (Platz 3)",IF($T68=2,$I68,$L68))</f>
        <v>Sieger 103 (Platz 3)</v>
      </c>
      <c r="P72" s="259"/>
      <c r="Q72" s="260"/>
      <c r="R72" s="261" t="s">
        <v>15</v>
      </c>
      <c r="S72" s="262"/>
      <c r="T72" s="263" t="str">
        <f t="shared" si="13"/>
        <v/>
      </c>
      <c r="U72" s="5" t="s">
        <v>15</v>
      </c>
      <c r="V72" s="264" t="str">
        <f t="shared" si="14"/>
        <v/>
      </c>
      <c r="W72" s="58"/>
      <c r="X72" s="5" t="s">
        <v>37</v>
      </c>
      <c r="Y72" s="5" t="s">
        <v>37</v>
      </c>
      <c r="Z72" s="288"/>
    </row>
    <row r="73" spans="2:28" hidden="1" outlineLevel="1">
      <c r="B73" s="242"/>
      <c r="C73" s="6"/>
      <c r="D73" s="6"/>
      <c r="E73" s="6">
        <f t="shared" si="12"/>
        <v>108</v>
      </c>
      <c r="F73" s="6">
        <v>2</v>
      </c>
      <c r="G73" s="12"/>
      <c r="H73" s="6"/>
      <c r="I73" s="278" t="str">
        <f ca="1">IF($T52="","Endspiel m11-14 / S."&amp;$E52,IF($T52=2,$I52,$L52))</f>
        <v>Rheinland</v>
      </c>
      <c r="J73" s="7" t="s">
        <v>16</v>
      </c>
      <c r="K73" s="6"/>
      <c r="L73" s="278" t="str">
        <f ca="1">IF(T53="","Sieger "&amp;E53,IF(T53=2,I53,L53))</f>
        <v>Westfalen</v>
      </c>
      <c r="M73" s="12"/>
      <c r="N73" s="6"/>
      <c r="O73" s="278" t="str">
        <f>IF($T69="","Sieger "&amp;$E69&amp;" (Platz 3)",IF($T69=2,$I69,$L69))</f>
        <v>Sieger 104 (Platz 3)</v>
      </c>
      <c r="P73" s="252"/>
      <c r="Q73" s="253"/>
      <c r="R73" s="254" t="s">
        <v>15</v>
      </c>
      <c r="S73" s="255"/>
      <c r="T73" s="223" t="str">
        <f t="shared" si="13"/>
        <v/>
      </c>
      <c r="U73" s="7" t="s">
        <v>15</v>
      </c>
      <c r="V73" s="8" t="str">
        <f t="shared" si="14"/>
        <v/>
      </c>
      <c r="W73" s="58"/>
      <c r="X73" s="7" t="s">
        <v>37</v>
      </c>
      <c r="Y73" s="7" t="s">
        <v>37</v>
      </c>
      <c r="Z73" s="288"/>
    </row>
    <row r="74" spans="2:28" hidden="1" outlineLevel="1">
      <c r="B74" s="242"/>
      <c r="C74" s="228"/>
      <c r="D74" s="228"/>
      <c r="E74" s="228">
        <f t="shared" si="12"/>
        <v>109</v>
      </c>
      <c r="F74" s="228">
        <v>3</v>
      </c>
      <c r="G74" s="285"/>
      <c r="H74" s="228"/>
      <c r="I74" s="278" t="str">
        <f ca="1">IF($T60="","Endspiel w15-18 / S."&amp;$E60,IF($T60=2,$I60,$L60))</f>
        <v>Niedersachsen</v>
      </c>
      <c r="J74" s="272" t="s">
        <v>16</v>
      </c>
      <c r="K74" s="273"/>
      <c r="L74" s="278" t="str">
        <f ca="1">IF($T61="","Sieger "&amp;$E61,IF($T61=2,$I61,$L61))</f>
        <v>Bremen</v>
      </c>
      <c r="M74" s="257"/>
      <c r="N74" s="273"/>
      <c r="O74" s="278" t="str">
        <f>IF($T69="","Sieger  "&amp;$E71&amp;" (Platz 3)",IF($T69=2,$I69,$L69))</f>
        <v>Sieger  106 (Platz 3)</v>
      </c>
      <c r="P74" s="259"/>
      <c r="Q74" s="260"/>
      <c r="R74" s="261" t="s">
        <v>15</v>
      </c>
      <c r="S74" s="262"/>
      <c r="T74" s="263" t="str">
        <f t="shared" si="13"/>
        <v/>
      </c>
      <c r="U74" s="5" t="s">
        <v>15</v>
      </c>
      <c r="V74" s="264" t="str">
        <f t="shared" si="14"/>
        <v/>
      </c>
      <c r="W74" s="58"/>
      <c r="X74" s="5" t="s">
        <v>37</v>
      </c>
      <c r="Y74" s="5" t="s">
        <v>37</v>
      </c>
      <c r="Z74" s="288"/>
    </row>
    <row r="75" spans="2:28" hidden="1" outlineLevel="1">
      <c r="B75" s="242"/>
      <c r="C75" s="56">
        <f>+C71+1</f>
        <v>15</v>
      </c>
      <c r="D75" s="243">
        <f>+Daten!P20</f>
        <v>0.67361111111111149</v>
      </c>
      <c r="E75" s="6">
        <f t="shared" si="12"/>
        <v>110</v>
      </c>
      <c r="F75" s="6">
        <v>2</v>
      </c>
      <c r="G75" s="12"/>
      <c r="H75" s="6"/>
      <c r="I75" s="278" t="str">
        <f ca="1">IF($T58="","Endspiel m15-18 / S. "&amp;$E58,IF($T58=2,$I58,$L58))</f>
        <v>Pfalz</v>
      </c>
      <c r="J75" s="270" t="s">
        <v>16</v>
      </c>
      <c r="K75" s="11"/>
      <c r="L75" s="278" t="str">
        <f ca="1">IF($T59="","Sieger "&amp;$E59,IF($T59=2,$I59,$L59))</f>
        <v>Westfalen</v>
      </c>
      <c r="M75" s="251"/>
      <c r="N75" s="11"/>
      <c r="O75" s="278" t="str">
        <f>IF($T71="","Sieger  "&amp;$E71&amp;" (Platz 3)",IF($T71=2,$I71,$L71))</f>
        <v>Sieger  106 (Platz 3)</v>
      </c>
      <c r="P75" s="252"/>
      <c r="Q75" s="253"/>
      <c r="R75" s="254" t="s">
        <v>15</v>
      </c>
      <c r="S75" s="255"/>
      <c r="T75" s="223" t="str">
        <f>IF(Q75="","",IF(Q75&gt;S75,2,IF(Q75&lt;S75,0,1)))</f>
        <v/>
      </c>
      <c r="U75" s="7" t="s">
        <v>15</v>
      </c>
      <c r="V75" s="8" t="str">
        <f>IF(S75="","",IF(S75&gt;Q75,2,IF(S75&lt;Q75,0,1)))</f>
        <v/>
      </c>
      <c r="W75" s="58"/>
      <c r="X75" s="7" t="s">
        <v>37</v>
      </c>
      <c r="Y75" s="7" t="s">
        <v>37</v>
      </c>
      <c r="Z75" s="288"/>
    </row>
    <row r="76" spans="2:28" hidden="1" outlineLevel="1">
      <c r="B76" s="242"/>
      <c r="E76" s="6">
        <f t="shared" si="12"/>
        <v>111</v>
      </c>
      <c r="F76" s="6">
        <v>3</v>
      </c>
      <c r="G76" s="12"/>
      <c r="H76" s="6"/>
      <c r="I76" s="268"/>
      <c r="J76" s="270" t="s">
        <v>16</v>
      </c>
      <c r="K76" s="11"/>
      <c r="L76" s="268"/>
      <c r="M76" s="251"/>
      <c r="N76" s="11"/>
      <c r="O76" s="268" t="str">
        <f ca="1">IF($T61="","Verlierer "&amp;$E61,IF($T61=0,$I61,$L61))</f>
        <v>Rheinland</v>
      </c>
      <c r="P76" s="252"/>
      <c r="Q76" s="253"/>
      <c r="R76" s="254" t="s">
        <v>15</v>
      </c>
      <c r="S76" s="255"/>
      <c r="T76" s="223" t="str">
        <f>IF(Q76="","",IF(Q76&gt;S76,2,IF(Q76&lt;S76,0,1)))</f>
        <v/>
      </c>
      <c r="U76" s="7" t="s">
        <v>15</v>
      </c>
      <c r="V76" s="8" t="str">
        <f>IF(S76="","",IF(S76&gt;Q76,2,IF(S76&lt;Q76,0,1)))</f>
        <v/>
      </c>
      <c r="W76" s="58"/>
      <c r="X76" s="7" t="s">
        <v>37</v>
      </c>
      <c r="Y76" s="7" t="s">
        <v>37</v>
      </c>
      <c r="Z76" s="288"/>
    </row>
    <row r="77" spans="2:28" hidden="1" outlineLevel="1">
      <c r="B77" s="242"/>
      <c r="E77" s="6">
        <f t="shared" si="12"/>
        <v>112</v>
      </c>
      <c r="F77" s="6">
        <v>2</v>
      </c>
      <c r="G77" s="12"/>
      <c r="H77" s="6"/>
      <c r="I77" s="244" t="str">
        <f ca="1">IF($T54="","Platz 5 / Verlierer "&amp;$E54,IF($T54=0,$I54,$L54))</f>
        <v>Sachsen</v>
      </c>
      <c r="J77" s="270" t="s">
        <v>16</v>
      </c>
      <c r="K77" s="11"/>
      <c r="L77" s="268" t="str">
        <f ca="1">IF($T55="","Platz 5, Verlierer "&amp;$E55,IF($T55=0,$I55,$L55))</f>
        <v>Schwaben</v>
      </c>
      <c r="M77" s="251"/>
      <c r="N77" s="11"/>
      <c r="O77" s="266" t="str">
        <f ca="1">IF($T60="","Verlierer "&amp;$E60,IF($T60=0,$I60,$L60))</f>
        <v>Baden</v>
      </c>
      <c r="P77" s="252"/>
      <c r="Q77" s="253"/>
      <c r="R77" s="254" t="s">
        <v>15</v>
      </c>
      <c r="S77" s="255"/>
      <c r="T77" s="223" t="str">
        <f>IF(Q77="","",IF(Q77&gt;S77,2,IF(Q77&lt;S77,0,1)))</f>
        <v/>
      </c>
      <c r="U77" s="7" t="s">
        <v>15</v>
      </c>
      <c r="V77" s="8" t="str">
        <f>IF(S77="","",IF(S77&gt;Q77,2,IF(S77&lt;Q77,0,1)))</f>
        <v/>
      </c>
      <c r="W77" s="58"/>
      <c r="X77" s="7" t="s">
        <v>37</v>
      </c>
      <c r="Y77" s="7" t="s">
        <v>37</v>
      </c>
      <c r="Z77" s="288"/>
    </row>
    <row r="78" spans="2:28" hidden="1" outlineLevel="1">
      <c r="B78" s="242"/>
      <c r="C78" s="228"/>
      <c r="D78" s="228"/>
      <c r="E78" s="228">
        <f t="shared" si="12"/>
        <v>113</v>
      </c>
      <c r="F78" s="228">
        <v>3</v>
      </c>
      <c r="G78" s="285"/>
      <c r="H78" s="228"/>
      <c r="I78" s="266"/>
      <c r="J78" s="272" t="s">
        <v>16</v>
      </c>
      <c r="K78" s="273"/>
      <c r="L78" s="266"/>
      <c r="M78" s="257"/>
      <c r="N78" s="273"/>
      <c r="O78" s="266"/>
      <c r="P78" s="259"/>
      <c r="Q78" s="260"/>
      <c r="R78" s="261" t="s">
        <v>15</v>
      </c>
      <c r="S78" s="262"/>
      <c r="T78" s="263" t="str">
        <f>IF(Q78="","",IF(Q78&gt;S78,2,IF(Q78&lt;S78,0,1)))</f>
        <v/>
      </c>
      <c r="U78" s="5" t="s">
        <v>15</v>
      </c>
      <c r="V78" s="264" t="str">
        <f>IF(S78="","",IF(S78&gt;Q78,2,IF(S78&lt;Q78,0,1)))</f>
        <v/>
      </c>
      <c r="W78" s="58"/>
      <c r="X78" s="5" t="s">
        <v>37</v>
      </c>
      <c r="Y78" s="5" t="s">
        <v>37</v>
      </c>
      <c r="Z78" s="288"/>
    </row>
    <row r="79" spans="2:28" hidden="1" outlineLevel="1">
      <c r="B79" s="242"/>
      <c r="C79" s="56">
        <f>+C75+1</f>
        <v>16</v>
      </c>
      <c r="D79" s="243">
        <f>+Daten!P21</f>
        <v>0.69097222222222265</v>
      </c>
      <c r="E79" s="6">
        <f t="shared" si="12"/>
        <v>114</v>
      </c>
      <c r="F79" s="6">
        <v>2</v>
      </c>
      <c r="G79" s="12"/>
      <c r="H79" s="6"/>
      <c r="I79" s="268"/>
      <c r="J79" s="270" t="s">
        <v>16</v>
      </c>
      <c r="K79" s="11"/>
      <c r="L79" s="268"/>
      <c r="M79" s="251"/>
      <c r="N79" s="11"/>
      <c r="O79" s="268"/>
      <c r="P79" s="252"/>
      <c r="Q79" s="253"/>
      <c r="R79" s="254" t="s">
        <v>15</v>
      </c>
      <c r="S79" s="255"/>
      <c r="T79" s="223" t="str">
        <f t="shared" ref="T79:T84" si="15">IF(Q79="","",IF(Q79&gt;S79,2,IF(Q79&lt;S79,0,1)))</f>
        <v/>
      </c>
      <c r="U79" s="7" t="s">
        <v>15</v>
      </c>
      <c r="V79" s="8" t="str">
        <f t="shared" ref="V79:V84" si="16">IF(S79="","",IF(S79&gt;Q79,2,IF(S79&lt;Q79,0,1)))</f>
        <v/>
      </c>
      <c r="W79" s="58"/>
      <c r="X79" s="7" t="s">
        <v>37</v>
      </c>
      <c r="Y79" s="7" t="s">
        <v>37</v>
      </c>
      <c r="Z79" s="288"/>
    </row>
    <row r="80" spans="2:28" hidden="1" outlineLevel="1">
      <c r="B80" s="242"/>
      <c r="C80" s="6"/>
      <c r="D80" s="6"/>
      <c r="E80" s="6">
        <f t="shared" si="12"/>
        <v>115</v>
      </c>
      <c r="F80" s="6">
        <v>3</v>
      </c>
      <c r="G80" s="12"/>
      <c r="H80" s="6"/>
      <c r="I80" s="268"/>
      <c r="J80" s="270" t="s">
        <v>16</v>
      </c>
      <c r="K80" s="11"/>
      <c r="L80" s="268"/>
      <c r="M80" s="251"/>
      <c r="N80" s="11"/>
      <c r="O80" s="268"/>
      <c r="P80" s="252"/>
      <c r="Q80" s="253"/>
      <c r="R80" s="254" t="s">
        <v>15</v>
      </c>
      <c r="S80" s="255"/>
      <c r="T80" s="223" t="str">
        <f t="shared" si="15"/>
        <v/>
      </c>
      <c r="U80" s="7" t="s">
        <v>15</v>
      </c>
      <c r="V80" s="8" t="str">
        <f t="shared" si="16"/>
        <v/>
      </c>
      <c r="W80" s="58"/>
      <c r="X80" s="7" t="s">
        <v>37</v>
      </c>
      <c r="Y80" s="7" t="s">
        <v>37</v>
      </c>
      <c r="Z80" s="288"/>
    </row>
    <row r="81" spans="2:26" hidden="1" outlineLevel="1">
      <c r="B81" s="242"/>
      <c r="C81" s="58">
        <f>+C79+1</f>
        <v>17</v>
      </c>
      <c r="D81" s="271">
        <f>+Daten!P22</f>
        <v>0.70833333333333381</v>
      </c>
      <c r="E81" s="6">
        <f t="shared" si="12"/>
        <v>116</v>
      </c>
      <c r="F81" s="6">
        <v>2</v>
      </c>
      <c r="G81" s="12"/>
      <c r="H81" s="6"/>
      <c r="I81" s="244"/>
      <c r="J81" s="7" t="s">
        <v>16</v>
      </c>
      <c r="K81" s="6"/>
      <c r="L81" s="244"/>
      <c r="M81" s="12"/>
      <c r="N81" s="6"/>
      <c r="O81" s="268"/>
      <c r="P81" s="252"/>
      <c r="Q81" s="253"/>
      <c r="R81" s="254" t="s">
        <v>15</v>
      </c>
      <c r="S81" s="255"/>
      <c r="T81" s="223" t="str">
        <f t="shared" si="15"/>
        <v/>
      </c>
      <c r="U81" s="7" t="s">
        <v>15</v>
      </c>
      <c r="V81" s="8" t="str">
        <f t="shared" si="16"/>
        <v/>
      </c>
      <c r="W81" s="58"/>
      <c r="X81" s="7" t="s">
        <v>37</v>
      </c>
      <c r="Y81" s="7" t="s">
        <v>37</v>
      </c>
      <c r="Z81" s="288"/>
    </row>
    <row r="82" spans="2:26" hidden="1" outlineLevel="1">
      <c r="B82" s="242"/>
      <c r="C82" s="228"/>
      <c r="D82" s="228"/>
      <c r="E82" s="228">
        <f t="shared" si="12"/>
        <v>117</v>
      </c>
      <c r="F82" s="228">
        <v>3</v>
      </c>
      <c r="G82" s="285"/>
      <c r="H82" s="228"/>
      <c r="I82" s="258"/>
      <c r="J82" s="5" t="s">
        <v>16</v>
      </c>
      <c r="K82" s="228"/>
      <c r="L82" s="266"/>
      <c r="M82" s="285"/>
      <c r="N82" s="228"/>
      <c r="O82" s="266"/>
      <c r="P82" s="259"/>
      <c r="Q82" s="260"/>
      <c r="R82" s="261" t="s">
        <v>15</v>
      </c>
      <c r="S82" s="262"/>
      <c r="T82" s="263" t="str">
        <f t="shared" si="15"/>
        <v/>
      </c>
      <c r="U82" s="5" t="s">
        <v>15</v>
      </c>
      <c r="V82" s="264" t="str">
        <f t="shared" si="16"/>
        <v/>
      </c>
      <c r="W82" s="58"/>
      <c r="X82" s="5" t="s">
        <v>37</v>
      </c>
      <c r="Y82" s="5" t="s">
        <v>37</v>
      </c>
      <c r="Z82" s="288"/>
    </row>
    <row r="83" spans="2:26" hidden="1" outlineLevel="1">
      <c r="B83" s="242"/>
      <c r="C83" s="56">
        <f>+C81+1</f>
        <v>18</v>
      </c>
      <c r="D83" s="243">
        <f>+Daten!P23</f>
        <v>0.72569444444444497</v>
      </c>
      <c r="E83" s="6">
        <f t="shared" si="12"/>
        <v>118</v>
      </c>
      <c r="F83" s="6">
        <v>2</v>
      </c>
      <c r="G83" s="12"/>
      <c r="H83" s="6"/>
      <c r="I83" s="244"/>
      <c r="J83" s="7" t="s">
        <v>16</v>
      </c>
      <c r="K83" s="6"/>
      <c r="L83" s="244"/>
      <c r="M83" s="12"/>
      <c r="N83" s="6"/>
      <c r="O83" s="268"/>
      <c r="P83" s="252"/>
      <c r="Q83" s="253"/>
      <c r="R83" s="254" t="s">
        <v>15</v>
      </c>
      <c r="S83" s="255"/>
      <c r="T83" s="223" t="str">
        <f t="shared" si="15"/>
        <v/>
      </c>
      <c r="U83" s="7" t="s">
        <v>15</v>
      </c>
      <c r="V83" s="8" t="str">
        <f t="shared" si="16"/>
        <v/>
      </c>
      <c r="W83" s="58"/>
      <c r="X83" s="7" t="s">
        <v>37</v>
      </c>
      <c r="Y83" s="7" t="s">
        <v>37</v>
      </c>
      <c r="Z83" s="288"/>
    </row>
    <row r="84" spans="2:26" hidden="1" outlineLevel="1">
      <c r="B84" s="47"/>
      <c r="C84" s="228"/>
      <c r="D84" s="228"/>
      <c r="E84" s="228">
        <f t="shared" si="12"/>
        <v>119</v>
      </c>
      <c r="F84" s="228">
        <v>3</v>
      </c>
      <c r="G84" s="285"/>
      <c r="H84" s="228"/>
      <c r="I84" s="244"/>
      <c r="J84" s="5" t="s">
        <v>16</v>
      </c>
      <c r="K84" s="228"/>
      <c r="L84" s="266"/>
      <c r="M84" s="285"/>
      <c r="N84" s="228"/>
      <c r="O84" s="266"/>
      <c r="P84" s="259"/>
      <c r="Q84" s="260"/>
      <c r="R84" s="261" t="s">
        <v>15</v>
      </c>
      <c r="S84" s="262"/>
      <c r="T84" s="263" t="str">
        <f t="shared" si="15"/>
        <v/>
      </c>
      <c r="U84" s="5" t="s">
        <v>15</v>
      </c>
      <c r="V84" s="264" t="str">
        <f t="shared" si="16"/>
        <v/>
      </c>
      <c r="W84" s="58"/>
      <c r="X84" s="5" t="s">
        <v>37</v>
      </c>
      <c r="Y84" s="5" t="s">
        <v>37</v>
      </c>
      <c r="Z84" s="288"/>
    </row>
    <row r="85" spans="2:26" collapsed="1">
      <c r="E85" s="6"/>
    </row>
    <row r="86" spans="2:26">
      <c r="E86" s="6"/>
    </row>
  </sheetData>
  <phoneticPr fontId="0" type="noConversion"/>
  <printOptions horizontalCentered="1" verticalCentered="1"/>
  <pageMargins left="0.39370078740157483" right="0.15748031496062992" top="0.39370078740157483" bottom="0.39370078740157483" header="0.51181102362204722" footer="0.31496062992125984"/>
  <pageSetup paperSize="9" scale="95" orientation="portrait" r:id="rId1"/>
  <headerFooter alignWithMargins="0">
    <oddFooter>&amp;R&amp;6&amp;D; &amp;F, &amp;A</oddFooter>
  </headerFooter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0"/>
  <sheetViews>
    <sheetView topLeftCell="A2" zoomScaleNormal="100" workbookViewId="0">
      <selection activeCell="J35" sqref="J35"/>
    </sheetView>
  </sheetViews>
  <sheetFormatPr baseColWidth="10" defaultRowHeight="12.75" outlineLevelRow="1"/>
  <cols>
    <col min="1" max="1" width="37.85546875" style="201" bestFit="1" customWidth="1"/>
    <col min="2" max="2" width="4" style="201" customWidth="1"/>
    <col min="3" max="6" width="4" style="207" customWidth="1"/>
    <col min="7" max="12" width="8.5703125" style="201" customWidth="1"/>
    <col min="13" max="16384" width="11.42578125" style="201"/>
  </cols>
  <sheetData>
    <row r="1" spans="1:12" s="211" customFormat="1" ht="24.75">
      <c r="A1" s="373" t="str">
        <f>+Daten!A1&amp;" "&amp;Daten!B1&amp;" "&amp;Daten!L1</f>
        <v>35. Deutschlandpokal der Jugend 2018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</row>
    <row r="3" spans="1:12" s="205" customFormat="1" ht="20.25">
      <c r="A3" s="212" t="s">
        <v>189</v>
      </c>
      <c r="B3" s="202"/>
      <c r="C3" s="203"/>
      <c r="D3" s="203"/>
      <c r="E3" s="321" t="s">
        <v>14</v>
      </c>
      <c r="F3" s="322"/>
      <c r="G3" s="210">
        <v>9</v>
      </c>
      <c r="H3" s="210">
        <v>9</v>
      </c>
      <c r="I3" s="210">
        <v>8</v>
      </c>
      <c r="J3" s="210">
        <v>9</v>
      </c>
      <c r="L3" s="205">
        <f>SUM(G3:K3)</f>
        <v>35</v>
      </c>
    </row>
    <row r="4" spans="1:12">
      <c r="G4" s="325">
        <v>10</v>
      </c>
      <c r="H4" s="325">
        <v>10</v>
      </c>
      <c r="I4" s="325">
        <v>9</v>
      </c>
      <c r="J4" s="325">
        <v>10</v>
      </c>
    </row>
    <row r="6" spans="1:12" s="206" customFormat="1" ht="15">
      <c r="B6" s="374" t="s">
        <v>190</v>
      </c>
      <c r="C6" s="374"/>
      <c r="D6" s="374"/>
      <c r="E6" s="374"/>
      <c r="F6" s="374"/>
      <c r="G6" s="207" t="s">
        <v>203</v>
      </c>
      <c r="H6" s="207" t="s">
        <v>204</v>
      </c>
      <c r="I6" s="207" t="s">
        <v>205</v>
      </c>
      <c r="J6" s="207" t="s">
        <v>207</v>
      </c>
      <c r="K6" s="207" t="s">
        <v>191</v>
      </c>
      <c r="L6" s="207" t="s">
        <v>13</v>
      </c>
    </row>
    <row r="7" spans="1:12" s="206" customFormat="1" ht="15.75" thickBot="1">
      <c r="B7" s="208" t="s">
        <v>192</v>
      </c>
      <c r="C7" s="209" t="s">
        <v>140</v>
      </c>
      <c r="D7" s="209" t="s">
        <v>139</v>
      </c>
      <c r="E7" s="209" t="s">
        <v>179</v>
      </c>
      <c r="F7" s="209" t="s">
        <v>178</v>
      </c>
      <c r="G7" s="204"/>
      <c r="H7" s="204"/>
      <c r="I7" s="204"/>
      <c r="J7" s="204"/>
      <c r="K7" s="204"/>
      <c r="L7" s="204"/>
    </row>
    <row r="8" spans="1:12" s="206" customFormat="1" ht="15.75">
      <c r="A8" s="310" t="s">
        <v>193</v>
      </c>
      <c r="B8" s="375">
        <v>4</v>
      </c>
      <c r="C8" s="377" t="s">
        <v>194</v>
      </c>
      <c r="D8" s="377" t="s">
        <v>194</v>
      </c>
      <c r="E8" s="377" t="s">
        <v>195</v>
      </c>
      <c r="F8" s="377" t="s">
        <v>194</v>
      </c>
      <c r="G8" s="311">
        <v>5</v>
      </c>
      <c r="H8" s="311">
        <v>8</v>
      </c>
      <c r="I8" s="311">
        <v>2</v>
      </c>
      <c r="J8" s="311">
        <v>6</v>
      </c>
      <c r="K8" s="324">
        <f t="shared" ref="K8:K30" si="0">SUM(G8:J8)</f>
        <v>21</v>
      </c>
      <c r="L8" s="312">
        <f>RANK(K8,($K$8,$K$10,$K$12,$K$14,$K$16,$K$18,$K$20,$K$22,$K$24,$K$26,$K$28,$K$30),0)</f>
        <v>4</v>
      </c>
    </row>
    <row r="9" spans="1:12" s="318" customFormat="1" ht="9.9499999999999993" customHeight="1" thickBot="1">
      <c r="A9" s="315" t="s">
        <v>13</v>
      </c>
      <c r="B9" s="376"/>
      <c r="C9" s="378"/>
      <c r="D9" s="378"/>
      <c r="E9" s="378"/>
      <c r="F9" s="378"/>
      <c r="G9" s="316"/>
      <c r="H9" s="316"/>
      <c r="I9" s="316"/>
      <c r="J9" s="316"/>
      <c r="K9" s="323"/>
      <c r="L9" s="317"/>
    </row>
    <row r="10" spans="1:12" s="206" customFormat="1" ht="15.75" hidden="1" outlineLevel="1">
      <c r="A10" s="310" t="s">
        <v>206</v>
      </c>
      <c r="B10" s="377"/>
      <c r="C10" s="377"/>
      <c r="D10" s="377"/>
      <c r="E10" s="377"/>
      <c r="F10" s="377"/>
      <c r="G10" s="313"/>
      <c r="H10" s="313"/>
      <c r="I10" s="313"/>
      <c r="J10" s="313"/>
      <c r="K10" s="324">
        <f t="shared" si="0"/>
        <v>0</v>
      </c>
      <c r="L10" s="312">
        <f>RANK(K10,($K$8,$K$10,$K$12,$K$14,$K$16,$K$18,$K$20,$K$22,$K$24,$K$26,$K$28,$K$30),0)</f>
        <v>11</v>
      </c>
    </row>
    <row r="11" spans="1:12" s="318" customFormat="1" ht="9.9499999999999993" hidden="1" customHeight="1" outlineLevel="1" thickBot="1">
      <c r="A11" s="315" t="s">
        <v>13</v>
      </c>
      <c r="B11" s="378"/>
      <c r="C11" s="378"/>
      <c r="D11" s="378"/>
      <c r="E11" s="378"/>
      <c r="F11" s="378"/>
      <c r="G11" s="316"/>
      <c r="H11" s="316"/>
      <c r="I11" s="316"/>
      <c r="J11" s="316"/>
      <c r="K11" s="323"/>
      <c r="L11" s="317"/>
    </row>
    <row r="12" spans="1:12" s="206" customFormat="1" ht="15.75" collapsed="1">
      <c r="A12" s="310" t="s">
        <v>168</v>
      </c>
      <c r="B12" s="377">
        <v>4</v>
      </c>
      <c r="C12" s="377" t="s">
        <v>194</v>
      </c>
      <c r="D12" s="377" t="s">
        <v>195</v>
      </c>
      <c r="E12" s="377" t="s">
        <v>195</v>
      </c>
      <c r="F12" s="377" t="s">
        <v>195</v>
      </c>
      <c r="G12" s="311">
        <v>1</v>
      </c>
      <c r="H12" s="311">
        <v>2</v>
      </c>
      <c r="I12" s="311">
        <v>5</v>
      </c>
      <c r="J12" s="311">
        <v>2</v>
      </c>
      <c r="K12" s="324">
        <f t="shared" si="0"/>
        <v>10</v>
      </c>
      <c r="L12" s="312">
        <f>RANK(K12,($K$8,$K$10,$K$12,$K$14,$K$16,$K$18,$K$20,$K$22,$K$24,$K$26,$K$28,$K$30),0)</f>
        <v>9</v>
      </c>
    </row>
    <row r="13" spans="1:12" s="318" customFormat="1" ht="9.9499999999999993" customHeight="1" thickBot="1">
      <c r="A13" s="315" t="s">
        <v>13</v>
      </c>
      <c r="B13" s="378"/>
      <c r="C13" s="378"/>
      <c r="D13" s="378"/>
      <c r="E13" s="378"/>
      <c r="F13" s="378"/>
      <c r="G13" s="316"/>
      <c r="H13" s="316"/>
      <c r="I13" s="316"/>
      <c r="J13" s="316"/>
      <c r="K13" s="323"/>
      <c r="L13" s="317"/>
    </row>
    <row r="14" spans="1:12" s="206" customFormat="1" ht="15.75">
      <c r="A14" s="310" t="s">
        <v>172</v>
      </c>
      <c r="B14" s="377">
        <v>4</v>
      </c>
      <c r="C14" s="377" t="s">
        <v>195</v>
      </c>
      <c r="D14" s="377" t="s">
        <v>194</v>
      </c>
      <c r="E14" s="377" t="s">
        <v>194</v>
      </c>
      <c r="F14" s="377" t="s">
        <v>194</v>
      </c>
      <c r="G14" s="311">
        <v>8</v>
      </c>
      <c r="H14" s="311">
        <v>6</v>
      </c>
      <c r="I14" s="311">
        <v>8</v>
      </c>
      <c r="J14" s="311">
        <v>5</v>
      </c>
      <c r="K14" s="324">
        <f t="shared" si="0"/>
        <v>27</v>
      </c>
      <c r="L14" s="312">
        <f>RANK(K14,($K$8,$K$10,$K$12,$K$14,$K$16,$K$18,$K$20,$K$22,$K$24,$K$26,$K$28,$K$30),0)</f>
        <v>1</v>
      </c>
    </row>
    <row r="15" spans="1:12" s="318" customFormat="1" ht="9.9499999999999993" customHeight="1" thickBot="1">
      <c r="A15" s="315" t="s">
        <v>13</v>
      </c>
      <c r="B15" s="378"/>
      <c r="C15" s="378"/>
      <c r="D15" s="378"/>
      <c r="E15" s="378"/>
      <c r="F15" s="378"/>
      <c r="G15" s="316"/>
      <c r="H15" s="316"/>
      <c r="I15" s="316"/>
      <c r="J15" s="316"/>
      <c r="K15" s="323"/>
      <c r="L15" s="317"/>
    </row>
    <row r="16" spans="1:12" s="206" customFormat="1" ht="15.75">
      <c r="A16" s="310" t="s">
        <v>196</v>
      </c>
      <c r="B16" s="377">
        <v>1</v>
      </c>
      <c r="C16" s="377" t="s">
        <v>195</v>
      </c>
      <c r="D16" s="377"/>
      <c r="E16" s="377"/>
      <c r="F16" s="377"/>
      <c r="G16" s="311">
        <v>4</v>
      </c>
      <c r="H16" s="313"/>
      <c r="I16" s="313" t="str">
        <f>IF(I17="","",I$4-I17)</f>
        <v/>
      </c>
      <c r="J16" s="313" t="str">
        <f>IF(J17="","",J$4-J17)</f>
        <v/>
      </c>
      <c r="K16" s="324">
        <f t="shared" si="0"/>
        <v>4</v>
      </c>
      <c r="L16" s="312">
        <f>RANK(K16,($K$8,$K$10,$K$12,$K$14,$K$16,$K$18,$K$20,$K$22,$K$24,$K$26,$K$28,$K$30),0)</f>
        <v>10</v>
      </c>
    </row>
    <row r="17" spans="1:12" s="318" customFormat="1" ht="9.9499999999999993" customHeight="1" thickBot="1">
      <c r="A17" s="315" t="s">
        <v>13</v>
      </c>
      <c r="B17" s="378"/>
      <c r="C17" s="378"/>
      <c r="D17" s="378"/>
      <c r="E17" s="378"/>
      <c r="F17" s="378"/>
      <c r="G17" s="316"/>
      <c r="H17" s="316"/>
      <c r="I17" s="316"/>
      <c r="J17" s="316"/>
      <c r="K17" s="323"/>
      <c r="L17" s="317"/>
    </row>
    <row r="18" spans="1:12" s="206" customFormat="1" ht="15.75">
      <c r="A18" s="310" t="s">
        <v>165</v>
      </c>
      <c r="B18" s="377">
        <v>4</v>
      </c>
      <c r="C18" s="377" t="s">
        <v>194</v>
      </c>
      <c r="D18" s="377" t="s">
        <v>194</v>
      </c>
      <c r="E18" s="377" t="s">
        <v>194</v>
      </c>
      <c r="F18" s="377" t="s">
        <v>194</v>
      </c>
      <c r="G18" s="311">
        <v>7</v>
      </c>
      <c r="H18" s="311">
        <v>9</v>
      </c>
      <c r="I18" s="311">
        <v>6</v>
      </c>
      <c r="J18" s="311">
        <v>3</v>
      </c>
      <c r="K18" s="324">
        <f t="shared" si="0"/>
        <v>25</v>
      </c>
      <c r="L18" s="312">
        <v>3</v>
      </c>
    </row>
    <row r="19" spans="1:12" s="318" customFormat="1" ht="9.9499999999999993" customHeight="1" thickBot="1">
      <c r="A19" s="315" t="s">
        <v>13</v>
      </c>
      <c r="B19" s="378"/>
      <c r="C19" s="378"/>
      <c r="D19" s="378"/>
      <c r="E19" s="378"/>
      <c r="F19" s="378"/>
      <c r="G19" s="316"/>
      <c r="H19" s="316"/>
      <c r="I19" s="316"/>
      <c r="J19" s="316"/>
      <c r="K19" s="323"/>
      <c r="L19" s="317"/>
    </row>
    <row r="20" spans="1:12" s="206" customFormat="1" ht="15.75">
      <c r="A20" s="310" t="s">
        <v>155</v>
      </c>
      <c r="B20" s="377">
        <v>4</v>
      </c>
      <c r="C20" s="377" t="s">
        <v>195</v>
      </c>
      <c r="D20" s="377" t="s">
        <v>195</v>
      </c>
      <c r="E20" s="377" t="s">
        <v>195</v>
      </c>
      <c r="F20" s="377" t="s">
        <v>195</v>
      </c>
      <c r="G20" s="311">
        <v>2</v>
      </c>
      <c r="H20" s="311">
        <v>1</v>
      </c>
      <c r="I20" s="311">
        <v>3</v>
      </c>
      <c r="J20" s="311">
        <v>7</v>
      </c>
      <c r="K20" s="324">
        <f t="shared" si="0"/>
        <v>13</v>
      </c>
      <c r="L20" s="312">
        <f>RANK(K20,($K$8,$K$10,$K$12,$K$14,$K$16,$K$18,$K$20,$K$22,$K$24,$K$26,$K$28,$K$30),0)</f>
        <v>7</v>
      </c>
    </row>
    <row r="21" spans="1:12" s="318" customFormat="1" ht="9.9499999999999993" customHeight="1" thickBot="1">
      <c r="A21" s="315" t="s">
        <v>13</v>
      </c>
      <c r="B21" s="378"/>
      <c r="C21" s="378"/>
      <c r="D21" s="378"/>
      <c r="E21" s="378"/>
      <c r="F21" s="378"/>
      <c r="G21" s="316"/>
      <c r="H21" s="316"/>
      <c r="I21" s="316"/>
      <c r="J21" s="316"/>
      <c r="K21" s="323"/>
      <c r="L21" s="317"/>
    </row>
    <row r="22" spans="1:12" s="206" customFormat="1" ht="15.75">
      <c r="A22" s="310" t="s">
        <v>169</v>
      </c>
      <c r="B22" s="377">
        <v>4</v>
      </c>
      <c r="C22" s="377" t="s">
        <v>194</v>
      </c>
      <c r="D22" s="377" t="s">
        <v>194</v>
      </c>
      <c r="E22" s="377" t="s">
        <v>194</v>
      </c>
      <c r="F22" s="377" t="s">
        <v>194</v>
      </c>
      <c r="G22" s="311">
        <v>3</v>
      </c>
      <c r="H22" s="311">
        <v>5</v>
      </c>
      <c r="I22" s="311">
        <v>7</v>
      </c>
      <c r="J22" s="311">
        <v>1</v>
      </c>
      <c r="K22" s="324">
        <f t="shared" si="0"/>
        <v>16</v>
      </c>
      <c r="L22" s="312">
        <f>RANK(K22,($K$8,$K$10,$K$12,$K$14,$K$16,$K$18,$K$20,$K$22,$K$24,$K$26,$K$28,$K$30),0)</f>
        <v>6</v>
      </c>
    </row>
    <row r="23" spans="1:12" s="318" customFormat="1" ht="9.9499999999999993" customHeight="1" thickBot="1">
      <c r="A23" s="315" t="s">
        <v>13</v>
      </c>
      <c r="B23" s="378"/>
      <c r="C23" s="378"/>
      <c r="D23" s="378"/>
      <c r="E23" s="378"/>
      <c r="F23" s="378"/>
      <c r="G23" s="316"/>
      <c r="H23" s="316"/>
      <c r="I23" s="316"/>
      <c r="J23" s="316"/>
      <c r="K23" s="323"/>
      <c r="L23" s="317"/>
    </row>
    <row r="24" spans="1:12" s="206" customFormat="1" ht="15.75" hidden="1" outlineLevel="1">
      <c r="A24" s="310" t="s">
        <v>197</v>
      </c>
      <c r="B24" s="377"/>
      <c r="C24" s="377"/>
      <c r="D24" s="377"/>
      <c r="E24" s="377"/>
      <c r="F24" s="377"/>
      <c r="G24" s="313"/>
      <c r="H24" s="313"/>
      <c r="I24" s="313"/>
      <c r="J24" s="313"/>
      <c r="K24" s="324">
        <f t="shared" si="0"/>
        <v>0</v>
      </c>
      <c r="L24" s="312">
        <f>RANK(K24,($K$8,$K$10,$K$12,$K$14,$K$16,$K$18,$K$20,$K$22,$K$24,$K$26,$K$28),0)</f>
        <v>10</v>
      </c>
    </row>
    <row r="25" spans="1:12" s="318" customFormat="1" ht="9.9499999999999993" hidden="1" customHeight="1" outlineLevel="1" thickBot="1">
      <c r="A25" s="315" t="s">
        <v>13</v>
      </c>
      <c r="B25" s="378"/>
      <c r="C25" s="378"/>
      <c r="D25" s="378"/>
      <c r="E25" s="378"/>
      <c r="F25" s="378"/>
      <c r="G25" s="316"/>
      <c r="H25" s="316"/>
      <c r="I25" s="316"/>
      <c r="J25" s="316"/>
      <c r="K25" s="323"/>
      <c r="L25" s="317"/>
    </row>
    <row r="26" spans="1:12" s="206" customFormat="1" ht="15.75" collapsed="1">
      <c r="A26" s="310" t="s">
        <v>153</v>
      </c>
      <c r="B26" s="377">
        <v>4</v>
      </c>
      <c r="C26" s="377" t="s">
        <v>194</v>
      </c>
      <c r="D26" s="377" t="s">
        <v>194</v>
      </c>
      <c r="E26" s="377" t="s">
        <v>194</v>
      </c>
      <c r="F26" s="377" t="s">
        <v>194</v>
      </c>
      <c r="G26" s="311">
        <v>6</v>
      </c>
      <c r="H26" s="311">
        <v>4</v>
      </c>
      <c r="I26" s="311">
        <v>1</v>
      </c>
      <c r="J26" s="311">
        <v>8</v>
      </c>
      <c r="K26" s="324">
        <f t="shared" si="0"/>
        <v>19</v>
      </c>
      <c r="L26" s="312">
        <f>RANK(K26,($K$8,$K$10,$K$12,$K$14,$K$16,$K$18,$K$20,$K$22,$K$24,$K$26,$K$28,$K$30),0)</f>
        <v>5</v>
      </c>
    </row>
    <row r="27" spans="1:12" s="318" customFormat="1" ht="9.9499999999999993" customHeight="1" thickBot="1">
      <c r="A27" s="315" t="s">
        <v>13</v>
      </c>
      <c r="B27" s="378"/>
      <c r="C27" s="378"/>
      <c r="D27" s="378"/>
      <c r="E27" s="378"/>
      <c r="F27" s="378"/>
      <c r="G27" s="316"/>
      <c r="H27" s="316"/>
      <c r="I27" s="316"/>
      <c r="J27" s="316"/>
      <c r="K27" s="323"/>
      <c r="L27" s="317"/>
    </row>
    <row r="28" spans="1:12" s="206" customFormat="1" ht="15.75">
      <c r="A28" s="310" t="s">
        <v>166</v>
      </c>
      <c r="B28" s="377">
        <v>4</v>
      </c>
      <c r="C28" s="377" t="s">
        <v>194</v>
      </c>
      <c r="D28" s="377" t="s">
        <v>194</v>
      </c>
      <c r="E28" s="377" t="s">
        <v>194</v>
      </c>
      <c r="F28" s="377" t="s">
        <v>194</v>
      </c>
      <c r="G28" s="311">
        <v>9</v>
      </c>
      <c r="H28" s="311">
        <v>3</v>
      </c>
      <c r="I28" s="311">
        <v>4</v>
      </c>
      <c r="J28" s="311">
        <v>9</v>
      </c>
      <c r="K28" s="324">
        <f t="shared" si="0"/>
        <v>25</v>
      </c>
      <c r="L28" s="312">
        <f>RANK(K28,($K$8,$K$10,$K$12,$K$14,$K$16,$K$18,$K$20,$K$22,$K$24,$K$26,$K$28,$K$30),0)</f>
        <v>2</v>
      </c>
    </row>
    <row r="29" spans="1:12" s="318" customFormat="1" ht="9.9499999999999993" customHeight="1" thickBot="1">
      <c r="A29" s="315" t="s">
        <v>13</v>
      </c>
      <c r="B29" s="378"/>
      <c r="C29" s="378"/>
      <c r="D29" s="378"/>
      <c r="E29" s="378"/>
      <c r="F29" s="378"/>
      <c r="G29" s="316"/>
      <c r="H29" s="316"/>
      <c r="I29" s="316"/>
      <c r="J29" s="316"/>
      <c r="K29" s="323"/>
      <c r="L29" s="317"/>
    </row>
    <row r="30" spans="1:12" s="206" customFormat="1" ht="15.75">
      <c r="A30" s="314" t="s">
        <v>208</v>
      </c>
      <c r="B30" s="377">
        <v>2</v>
      </c>
      <c r="C30" s="377"/>
      <c r="D30" s="377" t="s">
        <v>195</v>
      </c>
      <c r="E30" s="377"/>
      <c r="F30" s="377" t="s">
        <v>195</v>
      </c>
      <c r="G30" s="313" t="str">
        <f>IF(G31="","",G$4-G31)</f>
        <v/>
      </c>
      <c r="H30" s="311">
        <v>7</v>
      </c>
      <c r="I30" s="313" t="str">
        <f>IF(I31="","",I$4-I31)</f>
        <v/>
      </c>
      <c r="J30" s="311">
        <v>4</v>
      </c>
      <c r="K30" s="324">
        <f t="shared" si="0"/>
        <v>11</v>
      </c>
      <c r="L30" s="312">
        <f>RANK(K30,($K$8,$K$10,$K$12,$K$14,$K$16,$K$18,$K$20,$K$22,$K$24,$K$26,$K$28,$K$30),0)</f>
        <v>8</v>
      </c>
    </row>
    <row r="31" spans="1:12" s="318" customFormat="1" ht="9.9499999999999993" customHeight="1" thickBot="1">
      <c r="A31" s="315" t="s">
        <v>13</v>
      </c>
      <c r="B31" s="378"/>
      <c r="C31" s="378"/>
      <c r="D31" s="378"/>
      <c r="E31" s="378"/>
      <c r="F31" s="378"/>
      <c r="G31" s="319"/>
      <c r="H31" s="319"/>
      <c r="I31" s="319"/>
      <c r="J31" s="319"/>
      <c r="K31" s="323"/>
      <c r="L31" s="320"/>
    </row>
    <row r="32" spans="1:12" s="206" customFormat="1" ht="15">
      <c r="C32" s="204"/>
      <c r="D32" s="204"/>
      <c r="E32" s="204"/>
      <c r="F32" s="204"/>
    </row>
    <row r="33" spans="3:6" s="206" customFormat="1" ht="15">
      <c r="C33" s="204"/>
      <c r="D33" s="204"/>
      <c r="E33" s="204"/>
      <c r="F33" s="204"/>
    </row>
    <row r="34" spans="3:6" s="206" customFormat="1" ht="15">
      <c r="C34" s="204"/>
      <c r="D34" s="204"/>
      <c r="E34" s="204"/>
      <c r="F34" s="204"/>
    </row>
    <row r="35" spans="3:6" s="206" customFormat="1" ht="15">
      <c r="C35" s="204"/>
      <c r="D35" s="204"/>
      <c r="E35" s="204"/>
      <c r="F35" s="204"/>
    </row>
    <row r="36" spans="3:6" s="206" customFormat="1" ht="15">
      <c r="C36" s="204"/>
      <c r="D36" s="204"/>
      <c r="E36" s="204"/>
      <c r="F36" s="204"/>
    </row>
    <row r="37" spans="3:6" s="206" customFormat="1" ht="15">
      <c r="C37" s="204"/>
      <c r="D37" s="204"/>
      <c r="E37" s="204"/>
      <c r="F37" s="204"/>
    </row>
    <row r="38" spans="3:6" s="206" customFormat="1" ht="15">
      <c r="C38" s="204"/>
      <c r="D38" s="204"/>
      <c r="E38" s="204"/>
      <c r="F38" s="204"/>
    </row>
    <row r="39" spans="3:6" s="206" customFormat="1" ht="15">
      <c r="C39" s="204"/>
      <c r="D39" s="204"/>
      <c r="E39" s="204"/>
      <c r="F39" s="204"/>
    </row>
    <row r="40" spans="3:6" s="206" customFormat="1" ht="15">
      <c r="C40" s="204"/>
      <c r="D40" s="204"/>
      <c r="E40" s="204"/>
      <c r="F40" s="204"/>
    </row>
  </sheetData>
  <mergeCells count="62">
    <mergeCell ref="B24:B25"/>
    <mergeCell ref="C24:C25"/>
    <mergeCell ref="D24:D25"/>
    <mergeCell ref="E24:E25"/>
    <mergeCell ref="F24:F25"/>
    <mergeCell ref="B10:B11"/>
    <mergeCell ref="C10:C11"/>
    <mergeCell ref="D10:D11"/>
    <mergeCell ref="E10:E11"/>
    <mergeCell ref="F10:F11"/>
    <mergeCell ref="B30:B31"/>
    <mergeCell ref="D30:D31"/>
    <mergeCell ref="C30:C31"/>
    <mergeCell ref="E30:E31"/>
    <mergeCell ref="F30:F31"/>
    <mergeCell ref="F28:F29"/>
    <mergeCell ref="E28:E29"/>
    <mergeCell ref="D28:D29"/>
    <mergeCell ref="C28:C29"/>
    <mergeCell ref="B28:B29"/>
    <mergeCell ref="B26:B27"/>
    <mergeCell ref="C26:C27"/>
    <mergeCell ref="D26:D27"/>
    <mergeCell ref="E26:E27"/>
    <mergeCell ref="F26:F27"/>
    <mergeCell ref="B22:B23"/>
    <mergeCell ref="C22:C23"/>
    <mergeCell ref="D22:D23"/>
    <mergeCell ref="E22:E23"/>
    <mergeCell ref="F22:F23"/>
    <mergeCell ref="F20:F21"/>
    <mergeCell ref="E20:E21"/>
    <mergeCell ref="D20:D21"/>
    <mergeCell ref="C20:C21"/>
    <mergeCell ref="B20:B21"/>
    <mergeCell ref="B18:B19"/>
    <mergeCell ref="C18:C19"/>
    <mergeCell ref="D18:D19"/>
    <mergeCell ref="E18:E19"/>
    <mergeCell ref="F18:F19"/>
    <mergeCell ref="B14:B15"/>
    <mergeCell ref="C14:C15"/>
    <mergeCell ref="D14:D15"/>
    <mergeCell ref="E14:E15"/>
    <mergeCell ref="B16:B17"/>
    <mergeCell ref="F14:F15"/>
    <mergeCell ref="E16:E17"/>
    <mergeCell ref="F16:F17"/>
    <mergeCell ref="D16:D17"/>
    <mergeCell ref="C16:C17"/>
    <mergeCell ref="B12:B13"/>
    <mergeCell ref="C12:C13"/>
    <mergeCell ref="D12:D13"/>
    <mergeCell ref="E12:E13"/>
    <mergeCell ref="F12:F13"/>
    <mergeCell ref="A1:L1"/>
    <mergeCell ref="B6:F6"/>
    <mergeCell ref="B8:B9"/>
    <mergeCell ref="C8:C9"/>
    <mergeCell ref="D8:D9"/>
    <mergeCell ref="E8:E9"/>
    <mergeCell ref="F8:F9"/>
  </mergeCells>
  <conditionalFormatting sqref="L8:L29">
    <cfRule type="expression" dxfId="1" priority="3" stopIfTrue="1">
      <formula>$K8=0</formula>
    </cfRule>
  </conditionalFormatting>
  <conditionalFormatting sqref="L30">
    <cfRule type="expression" dxfId="0" priority="1" stopIfTrue="1">
      <formula>$K30=0</formula>
    </cfRule>
  </conditionalFormatting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11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0"/>
  <sheetViews>
    <sheetView workbookViewId="0">
      <selection activeCell="E24" sqref="E24"/>
    </sheetView>
  </sheetViews>
  <sheetFormatPr baseColWidth="10" defaultRowHeight="12.75"/>
  <cols>
    <col min="1" max="1" width="30.7109375" style="56" customWidth="1"/>
    <col min="2" max="2" width="4.7109375" style="56" customWidth="1"/>
    <col min="3" max="3" width="30.7109375" style="56" customWidth="1"/>
    <col min="4" max="4" width="4.7109375" style="56" customWidth="1"/>
    <col min="5" max="5" width="30.7109375" style="56" customWidth="1"/>
    <col min="6" max="6" width="4.7109375" style="56" customWidth="1"/>
    <col min="7" max="7" width="30.7109375" style="56" customWidth="1"/>
    <col min="8" max="8" width="4.7109375" style="56" customWidth="1"/>
    <col min="9" max="9" width="30.7109375" style="56" customWidth="1"/>
    <col min="10" max="16384" width="11.42578125" style="56"/>
  </cols>
  <sheetData>
    <row r="1" spans="1:16" s="220" customFormat="1" ht="41.25">
      <c r="A1" s="379" t="str">
        <f>+Daten!A1&amp;" "&amp;Daten!B1&amp;" "&amp;Daten!L1</f>
        <v>35. Deutschlandpokal der Jugend 2018</v>
      </c>
      <c r="B1" s="379"/>
      <c r="C1" s="379"/>
      <c r="D1" s="379"/>
      <c r="E1" s="379"/>
      <c r="F1" s="379"/>
      <c r="G1" s="379"/>
      <c r="H1" s="219"/>
      <c r="I1" s="219"/>
      <c r="J1" s="219"/>
      <c r="K1" s="219"/>
      <c r="L1" s="219"/>
      <c r="M1" s="219"/>
      <c r="N1" s="219"/>
      <c r="O1" s="219"/>
      <c r="P1" s="219"/>
    </row>
    <row r="3" spans="1:16" s="218" customFormat="1" ht="26.25">
      <c r="A3" s="380" t="s">
        <v>198</v>
      </c>
      <c r="B3" s="380"/>
      <c r="C3" s="380"/>
      <c r="D3" s="380"/>
      <c r="E3" s="380"/>
      <c r="F3" s="380"/>
      <c r="G3" s="380"/>
    </row>
    <row r="5" spans="1:16" s="15" customFormat="1" ht="15.75">
      <c r="A5" s="221" t="s">
        <v>227</v>
      </c>
    </row>
    <row r="6" spans="1:16">
      <c r="A6" s="56" t="s">
        <v>199</v>
      </c>
      <c r="C6" s="56" t="s">
        <v>200</v>
      </c>
      <c r="E6" s="56" t="s">
        <v>201</v>
      </c>
      <c r="G6" s="56" t="s">
        <v>202</v>
      </c>
    </row>
    <row r="7" spans="1:16" s="226" customFormat="1" ht="20.25" customHeight="1">
      <c r="A7" s="227" t="s">
        <v>405</v>
      </c>
      <c r="B7" s="223"/>
      <c r="C7" s="222" t="s">
        <v>285</v>
      </c>
      <c r="D7" s="223"/>
      <c r="E7" s="222" t="s">
        <v>406</v>
      </c>
      <c r="F7" s="223"/>
      <c r="G7" s="224" t="s">
        <v>286</v>
      </c>
      <c r="H7" s="225"/>
      <c r="I7" s="222"/>
    </row>
    <row r="8" spans="1:16" ht="12.75" customHeight="1">
      <c r="A8" s="13" t="s">
        <v>162</v>
      </c>
      <c r="B8" s="13"/>
      <c r="C8" s="13" t="s">
        <v>173</v>
      </c>
      <c r="D8" s="13"/>
      <c r="E8" s="214" t="s">
        <v>161</v>
      </c>
      <c r="F8" s="13"/>
      <c r="G8" s="214" t="s">
        <v>162</v>
      </c>
      <c r="H8" s="214"/>
      <c r="I8" s="213"/>
    </row>
    <row r="9" spans="1:16" ht="24.95" customHeight="1"/>
    <row r="10" spans="1:16" ht="15.75">
      <c r="A10" s="221" t="s">
        <v>228</v>
      </c>
    </row>
    <row r="11" spans="1:16">
      <c r="A11" s="56" t="s">
        <v>199</v>
      </c>
      <c r="C11" s="56" t="s">
        <v>200</v>
      </c>
      <c r="E11" s="56" t="s">
        <v>201</v>
      </c>
      <c r="G11" s="56" t="s">
        <v>202</v>
      </c>
    </row>
    <row r="12" spans="1:16" s="226" customFormat="1" ht="20.25" customHeight="1">
      <c r="A12" s="222" t="s">
        <v>407</v>
      </c>
      <c r="B12" s="223"/>
      <c r="C12" s="222" t="s">
        <v>408</v>
      </c>
      <c r="D12" s="223"/>
      <c r="E12" s="222" t="s">
        <v>409</v>
      </c>
      <c r="F12" s="223"/>
      <c r="G12" s="222" t="s">
        <v>410</v>
      </c>
      <c r="H12" s="223"/>
    </row>
    <row r="13" spans="1:16" ht="12.75" customHeight="1">
      <c r="A13" s="13" t="s">
        <v>161</v>
      </c>
      <c r="B13" s="13"/>
      <c r="C13" s="13" t="s">
        <v>157</v>
      </c>
      <c r="D13" s="13"/>
      <c r="E13" s="13" t="s">
        <v>161</v>
      </c>
      <c r="F13" s="13"/>
      <c r="G13" s="13" t="s">
        <v>161</v>
      </c>
      <c r="H13" s="13"/>
    </row>
    <row r="14" spans="1:16" ht="24.95" customHeight="1"/>
    <row r="15" spans="1:16" ht="15.75">
      <c r="A15" s="221" t="s">
        <v>229</v>
      </c>
    </row>
    <row r="16" spans="1:16">
      <c r="A16" s="56" t="s">
        <v>199</v>
      </c>
      <c r="C16" s="56" t="s">
        <v>200</v>
      </c>
      <c r="E16" s="56" t="s">
        <v>201</v>
      </c>
      <c r="G16" s="56" t="s">
        <v>202</v>
      </c>
    </row>
    <row r="17" spans="1:8" ht="20.25" customHeight="1">
      <c r="A17" s="222" t="s">
        <v>411</v>
      </c>
      <c r="B17" s="13"/>
      <c r="C17" s="222" t="s">
        <v>249</v>
      </c>
      <c r="D17" s="223"/>
      <c r="E17" s="222" t="s">
        <v>217</v>
      </c>
      <c r="F17" s="223"/>
      <c r="G17" s="222" t="s">
        <v>412</v>
      </c>
      <c r="H17" s="214"/>
    </row>
    <row r="18" spans="1:8" ht="12.75" customHeight="1">
      <c r="A18" s="13" t="s">
        <v>161</v>
      </c>
      <c r="B18" s="13"/>
      <c r="C18" s="13" t="s">
        <v>164</v>
      </c>
      <c r="D18" s="13"/>
      <c r="E18" s="13" t="s">
        <v>173</v>
      </c>
      <c r="F18" s="13"/>
      <c r="G18" s="214" t="s">
        <v>164</v>
      </c>
      <c r="H18" s="214"/>
    </row>
    <row r="19" spans="1:8" ht="24.95" customHeight="1"/>
    <row r="20" spans="1:8" ht="15.75">
      <c r="A20" s="221" t="s">
        <v>230</v>
      </c>
    </row>
    <row r="21" spans="1:8">
      <c r="A21" s="56" t="s">
        <v>199</v>
      </c>
      <c r="C21" s="56" t="s">
        <v>200</v>
      </c>
      <c r="E21" s="56" t="s">
        <v>201</v>
      </c>
      <c r="G21" s="56" t="s">
        <v>202</v>
      </c>
    </row>
    <row r="22" spans="1:8" s="226" customFormat="1" ht="20.25" customHeight="1">
      <c r="A22" s="224" t="s">
        <v>219</v>
      </c>
      <c r="B22" s="225"/>
      <c r="C22" s="222" t="s">
        <v>413</v>
      </c>
      <c r="D22" s="225"/>
      <c r="E22" s="222" t="s">
        <v>414</v>
      </c>
      <c r="F22" s="225"/>
      <c r="G22" s="222" t="s">
        <v>415</v>
      </c>
      <c r="H22" s="225"/>
    </row>
    <row r="23" spans="1:8" ht="12.75" customHeight="1">
      <c r="A23" s="214" t="s">
        <v>162</v>
      </c>
      <c r="C23" s="214" t="s">
        <v>162</v>
      </c>
      <c r="E23" s="214" t="s">
        <v>152</v>
      </c>
      <c r="G23" s="214" t="s">
        <v>152</v>
      </c>
    </row>
    <row r="24" spans="1:8" ht="15">
      <c r="A24" s="15"/>
    </row>
    <row r="26" spans="1:8" ht="27.95" customHeight="1">
      <c r="A26" s="215"/>
      <c r="B26" s="214"/>
      <c r="C26" s="216"/>
      <c r="D26" s="214"/>
      <c r="E26" s="216"/>
      <c r="F26" s="214"/>
      <c r="G26" s="216"/>
      <c r="H26" s="14"/>
    </row>
    <row r="27" spans="1:8" ht="24.95" customHeight="1"/>
    <row r="28" spans="1:8" ht="15">
      <c r="A28" s="15"/>
    </row>
    <row r="30" spans="1:8" ht="27.95" customHeight="1">
      <c r="A30" s="217"/>
      <c r="B30" s="217"/>
      <c r="C30" s="217"/>
      <c r="D30" s="217"/>
      <c r="E30" s="217"/>
      <c r="F30" s="217"/>
      <c r="G30" s="217"/>
    </row>
  </sheetData>
  <mergeCells count="2">
    <mergeCell ref="A1:G1"/>
    <mergeCell ref="A3:G3"/>
  </mergeCells>
  <printOptions horizontalCentered="1" verticalCentered="1"/>
  <pageMargins left="0.70866141732283472" right="0.31496062992125984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Daten</vt:lpstr>
      <vt:lpstr>w11-14</vt:lpstr>
      <vt:lpstr>m11-14</vt:lpstr>
      <vt:lpstr>w15-18</vt:lpstr>
      <vt:lpstr>m15-18</vt:lpstr>
      <vt:lpstr>Samstag</vt:lpstr>
      <vt:lpstr>Sonntag</vt:lpstr>
      <vt:lpstr>LV</vt:lpstr>
      <vt:lpstr>DreamTeam</vt:lpstr>
      <vt:lpstr>Dream Team g</vt:lpstr>
      <vt:lpstr>'m11-14'!Druckbereich</vt:lpstr>
      <vt:lpstr>'m15-18'!Druckbereich</vt:lpstr>
      <vt:lpstr>Samstag!Druckbereich</vt:lpstr>
      <vt:lpstr>Sonntag!Druckbereich</vt:lpstr>
      <vt:lpstr>'w11-14'!Druckbereich</vt:lpstr>
      <vt:lpstr>'w15-18'!Druckbereich</vt:lpstr>
      <vt:lpstr>Samstag!Drucktitel</vt:lpstr>
      <vt:lpstr>Sonntag!Drucktitel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Deutsche Prellballmeisterschaften der Senioren</dc:title>
  <dc:subject>DSENM 2006</dc:subject>
  <dc:creator>Stefan Reichelt</dc:creator>
  <dc:description>vorläufiger Spielplan_x000d_
10 Mannschaften 8 Felder_x000d_
Haupt=F40, M40, F30, M30_x000d_
Neben= M50, M60</dc:description>
  <cp:lastModifiedBy>Axel Nowark</cp:lastModifiedBy>
  <cp:lastPrinted>2018-06-09T15:02:10Z</cp:lastPrinted>
  <dcterms:created xsi:type="dcterms:W3CDTF">1998-03-17T12:23:14Z</dcterms:created>
  <dcterms:modified xsi:type="dcterms:W3CDTF">2018-06-11T07:38:01Z</dcterms:modified>
</cp:coreProperties>
</file>